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3" yWindow="65307" windowWidth="12935" windowHeight="7659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<sst xmlns="http://schemas.openxmlformats.org/spreadsheetml/2006/main" count="1128" uniqueCount="499">
  <si>
    <t>VA2GU POLAR TO /FROM CARTESIAN COORDINATES</t>
  </si>
  <si>
    <t xml:space="preserve">MAGNITUDE </t>
  </si>
  <si>
    <t>CARTESIAN VALUE</t>
  </si>
  <si>
    <t xml:space="preserve"> </t>
  </si>
  <si>
    <t>J</t>
  </si>
  <si>
    <t>The following will convert polar voltages/currents i.e. 0.77amp@-135degrees</t>
  </si>
  <si>
    <t xml:space="preserve">So, have to multiply the degrees entered above, by pi/180 to ger the right nr of </t>
  </si>
  <si>
    <t>Note: the excel program uses radians (pi/180 degrees) for the trig. (sin/cos) functions</t>
  </si>
  <si>
    <t>to cartesian (rectangular) values ( -0.544-0.544J)</t>
  </si>
  <si>
    <t>ANGLE</t>
  </si>
  <si>
    <t>The following will convert cartesian numbers (impedance Z, current I,</t>
  </si>
  <si>
    <t>voltage V, etc) i.e. -46.7+49.1J to polar values (67.56 @ 133 degrees)</t>
  </si>
  <si>
    <t>&lt;</t>
  </si>
  <si>
    <t>@</t>
  </si>
  <si>
    <t>MAGNITUDE</t>
  </si>
  <si>
    <t>INPUTS</t>
  </si>
  <si>
    <t>OUTPUTS</t>
  </si>
  <si>
    <t>CURRENT/VOLT/Z</t>
  </si>
  <si>
    <t>CURRENT/VOLT/Z PHASE</t>
  </si>
  <si>
    <t>radians and obtain the rectangular values as used in array phasing formulas.</t>
  </si>
  <si>
    <t>REACTIVE ON Y AXIS (XL/XC)</t>
  </si>
  <si>
    <t>RESISTIVE ON X AXIS ( R )</t>
  </si>
  <si>
    <t xml:space="preserve">CALCULATING PARALLEL IMPEDANCES Z1=A+Bj AND Z2=C+Dj </t>
  </si>
  <si>
    <t>Z1 POLAR</t>
  </si>
  <si>
    <t>Z1 ANGLE</t>
  </si>
  <si>
    <t>Z2 POLAR</t>
  </si>
  <si>
    <t>Z2ANGLE</t>
  </si>
  <si>
    <t xml:space="preserve">Z1*Z2 </t>
  </si>
  <si>
    <t>Z1*Z2&lt;</t>
  </si>
  <si>
    <t>X SUM A,C</t>
  </si>
  <si>
    <t>Y SUM B,D</t>
  </si>
  <si>
    <t>Z1+Z2</t>
  </si>
  <si>
    <t>Z1+Z2 &lt;</t>
  </si>
  <si>
    <t>Z1//Z2 MAG</t>
  </si>
  <si>
    <t>Z1//Z2 &lt;</t>
  </si>
  <si>
    <t>Z1//Z2 RECT</t>
  </si>
  <si>
    <t>AND PARALLEL EQUIVALENT OF IMPEDANCES</t>
  </si>
  <si>
    <t>INTERMEDIATE CALC.</t>
  </si>
  <si>
    <t>POLAR TO CARTESIAN COORDINATES</t>
  </si>
  <si>
    <t>CARTESIAN TO POLAR COORDINATES</t>
  </si>
  <si>
    <t>X OR IMAG</t>
  </si>
  <si>
    <t>X IMAGINARY</t>
  </si>
  <si>
    <t>COUPLED IMPEDANCE</t>
  </si>
  <si>
    <t>2ND ELEMENT COUPLED TO 1,3,4 AND 5</t>
  </si>
  <si>
    <t>3RD ELEMENT COUPLED TO 1,2,4 AND 5</t>
  </si>
  <si>
    <t>4TH ELEMENT COUPLED TO 1,2,3 AND 5</t>
  </si>
  <si>
    <t>5TH ELEMENT COUPLED TO 1,2,3 AND 4</t>
  </si>
  <si>
    <t xml:space="preserve">         REFER TO ON4UN LOW BAND DXING MANUAL FOR TERM DEFINITIONS</t>
  </si>
  <si>
    <t xml:space="preserve">   SELF IMPEDANCE</t>
  </si>
  <si>
    <t>M12</t>
  </si>
  <si>
    <t>M13</t>
  </si>
  <si>
    <t>M14</t>
  </si>
  <si>
    <t>M15</t>
  </si>
  <si>
    <t>POLAR</t>
  </si>
  <si>
    <t>Z22</t>
  </si>
  <si>
    <t>========================================================</t>
  </si>
  <si>
    <t>------------------------------------------------------------------------------------------------------</t>
  </si>
  <si>
    <t>Z12  1 to 2</t>
  </si>
  <si>
    <t>Z13  1 to 3</t>
  </si>
  <si>
    <t>Z14  1 to 4</t>
  </si>
  <si>
    <t>Z15  1 to 5</t>
  </si>
  <si>
    <t>Z21  2 to 1</t>
  </si>
  <si>
    <t>Z35  3 to 5</t>
  </si>
  <si>
    <t>Z34  3 to 4</t>
  </si>
  <si>
    <t>Z32  3 to 2</t>
  </si>
  <si>
    <t>Z31  3 to 1</t>
  </si>
  <si>
    <t>Z23  2 to 3</t>
  </si>
  <si>
    <t>Z24  2 to 4</t>
  </si>
  <si>
    <t>Z25  2 to 5</t>
  </si>
  <si>
    <t>Z41  4 to 1</t>
  </si>
  <si>
    <t>Z42  4 to 2</t>
  </si>
  <si>
    <t>Z43  4 to 3</t>
  </si>
  <si>
    <t>Z45  4 to 5</t>
  </si>
  <si>
    <t>Z54  5 to 4</t>
  </si>
  <si>
    <t>Z53  5 to 3</t>
  </si>
  <si>
    <t>Z52  5 to 2</t>
  </si>
  <si>
    <t>Z51  5 to 1</t>
  </si>
  <si>
    <t xml:space="preserve">          DRIVING IMPEDANCE </t>
  </si>
  <si>
    <t>1st ELEMENT COUPLED TO 2,3,4 AND 5</t>
  </si>
  <si>
    <t>Z11</t>
  </si>
  <si>
    <t>1st element</t>
  </si>
  <si>
    <t>Z33</t>
  </si>
  <si>
    <t>Z44</t>
  </si>
  <si>
    <t>Z55</t>
  </si>
  <si>
    <t>2nd element</t>
  </si>
  <si>
    <t>3rd element</t>
  </si>
  <si>
    <t>4th element</t>
  </si>
  <si>
    <t>5th element</t>
  </si>
  <si>
    <t xml:space="preserve">R or REAL </t>
  </si>
  <si>
    <t xml:space="preserve">the self and coupled impedances measured at each element </t>
  </si>
  <si>
    <t>terminals or through half waves feedlines.</t>
  </si>
  <si>
    <t>Mutual z is the impedance between any two element</t>
  </si>
  <si>
    <t>Z1 = Z11 + I2/I1*M12* + I3/I1*M13 + I4/I1*M14 + I5/I1*M15</t>
  </si>
  <si>
    <t>Z5 = Z55 + I1/I5*M51* + I2/I5*M52 + I3/I5*M53 + I4/I5*M54</t>
  </si>
  <si>
    <t>For 5 elements, the formula for the first (Z1) and the last (Z5) driving impedances are:</t>
  </si>
  <si>
    <t xml:space="preserve">The driving impedance of each element is derived from the RATIOS of drive current </t>
  </si>
  <si>
    <t xml:space="preserve">magnitude and phase flowing into each pair of elements, the self impedance of that given </t>
  </si>
  <si>
    <t xml:space="preserve">element and its mutual impedance to each other element as calculated above from the </t>
  </si>
  <si>
    <t xml:space="preserve">measured self and coupled impedances. The current ratios are those you get from </t>
  </si>
  <si>
    <t>modeling for desired pattern.</t>
  </si>
  <si>
    <t xml:space="preserve">The currents "I2/I1, etc" are complex numbers (magnitude and phase) expressed in </t>
  </si>
  <si>
    <t>rectangular or polar expressions. I use polar numbers; if you have rectangular</t>
  </si>
  <si>
    <t>rectangular expressions, you can convert them with the formulas on sheet 1 of this doc.</t>
  </si>
  <si>
    <t xml:space="preserve">   INPUTS</t>
  </si>
  <si>
    <t>DRIVE CURRENTS MAGNITUDE AND PHASE</t>
  </si>
  <si>
    <t>PHASE ANGLE</t>
  </si>
  <si>
    <t>I1</t>
  </si>
  <si>
    <t>I2</t>
  </si>
  <si>
    <t>I3</t>
  </si>
  <si>
    <t>I4</t>
  </si>
  <si>
    <t>I5</t>
  </si>
  <si>
    <t>If you have less than 5 elements, enter 0 for the absent elements in the table below</t>
  </si>
  <si>
    <t>I2/I1</t>
  </si>
  <si>
    <t>I3/I1</t>
  </si>
  <si>
    <t>I4/I1</t>
  </si>
  <si>
    <t>I5/I1</t>
  </si>
  <si>
    <t>I1/I2</t>
  </si>
  <si>
    <t>I3/I2</t>
  </si>
  <si>
    <t>I4/I2</t>
  </si>
  <si>
    <t>I5/I2</t>
  </si>
  <si>
    <t xml:space="preserve">   ====</t>
  </si>
  <si>
    <t>I1/I3</t>
  </si>
  <si>
    <t>I2/I3</t>
  </si>
  <si>
    <t>I4/I3</t>
  </si>
  <si>
    <t>I5/I3</t>
  </si>
  <si>
    <t>I1/I4</t>
  </si>
  <si>
    <t>I2/I4</t>
  </si>
  <si>
    <t>I3/I4</t>
  </si>
  <si>
    <t>I5/I4</t>
  </si>
  <si>
    <t>I1/I5</t>
  </si>
  <si>
    <t>I2/I5</t>
  </si>
  <si>
    <t>I3/I5</t>
  </si>
  <si>
    <t>I4/I5</t>
  </si>
  <si>
    <t>MAG</t>
  </si>
  <si>
    <t>ANG</t>
  </si>
  <si>
    <t>POS</t>
  </si>
  <si>
    <t>NEG</t>
  </si>
  <si>
    <t>MUT Z12= SQRT Z22(Z11-Z12)</t>
  </si>
  <si>
    <t>SELF</t>
  </si>
  <si>
    <t>I/IxZM</t>
  </si>
  <si>
    <t xml:space="preserve">               RECTANGULAR COORDINATES</t>
  </si>
  <si>
    <t>I/IxZM&lt;</t>
  </si>
  <si>
    <t>POLAR of self-coupled</t>
  </si>
  <si>
    <t xml:space="preserve"> MAGN.</t>
  </si>
  <si>
    <t>theoretical damped sinus integral curve, where  both the real and imag. parts go through the zero axis, as a factor of spacing</t>
  </si>
  <si>
    <t>between pairs of elements. Refer to "mutual z" in ON4UN and ARRL Ant. Bk and to the works of Balanis and Krauss W8JK.</t>
  </si>
  <si>
    <t>POS ANGLE</t>
  </si>
  <si>
    <t>NEG ANGLE</t>
  </si>
  <si>
    <t>POSITIVE RESULTS OF SQRT CALCULATION</t>
  </si>
  <si>
    <t>NEGATIVE RESULTS OF SQRT CALCULATION</t>
  </si>
  <si>
    <t xml:space="preserve">              MUTUAL IMPEDANCES OUTPUT</t>
  </si>
  <si>
    <t xml:space="preserve">                     POLAR COORDINATES</t>
  </si>
  <si>
    <t>VALUE A (Z1)</t>
  </si>
  <si>
    <t>VALUE B (Z1)</t>
  </si>
  <si>
    <t>VALUE C (Z2)</t>
  </si>
  <si>
    <t>VALUE D (Z2)</t>
  </si>
  <si>
    <t xml:space="preserve">                      MUTUAL IMPEDANCES OUTPUTS</t>
  </si>
  <si>
    <t xml:space="preserve">                        (METHOD #1 ARRL ANT. HDBK)</t>
  </si>
  <si>
    <t xml:space="preserve">                        (METHOD #2 ARRL ANT. HDBK)</t>
  </si>
  <si>
    <t xml:space="preserve">In this method #1, the mutual Z of each elem. is calculated from </t>
  </si>
  <si>
    <t>In this method #2, the mutual Z of each elem. is calculated from the self Z of</t>
  </si>
  <si>
    <t>Zm12</t>
  </si>
  <si>
    <t>by joining the 2 elem. through a 1/2 w. or multiples thereof (max 1.5 wl)</t>
  </si>
  <si>
    <t xml:space="preserve">   COUPLED CONNECTED IMPEDANCE</t>
  </si>
  <si>
    <t>Z12x  1 to 2</t>
  </si>
  <si>
    <t>Z13x  1 to 3</t>
  </si>
  <si>
    <t>Z14x  1 to 4</t>
  </si>
  <si>
    <t>Z15x  1 to 5</t>
  </si>
  <si>
    <t>1st ELEMENT COUPLED CONNECTED TO 2,3,4 AND 5</t>
  </si>
  <si>
    <t>2ND ELEMENT COUPLED CONNECTED TO 1,3,4 AND 5</t>
  </si>
  <si>
    <t>3RD ELEMENT COUPLED CONNECTED TO 1,2,4 AND 5</t>
  </si>
  <si>
    <t>4TH ELEMENT COUPLED CONNECTED TO 1,2,3 AND 5</t>
  </si>
  <si>
    <t>5TH ELEMENT COUPLED CONNECTED TO 1,2,3 AND 4</t>
  </si>
  <si>
    <t>Z23x  2 to 3</t>
  </si>
  <si>
    <t>Z21x  2 to 1</t>
  </si>
  <si>
    <t>Z24x  2 to 4</t>
  </si>
  <si>
    <t>Z25x  2 to 5</t>
  </si>
  <si>
    <t>Z35x  3 to 5</t>
  </si>
  <si>
    <t>Z34x  3 to 4</t>
  </si>
  <si>
    <t>Z32x  3 to 2</t>
  </si>
  <si>
    <t>Z31x  3 to 1</t>
  </si>
  <si>
    <t>Z41x  4 to 1</t>
  </si>
  <si>
    <t>Z42x  4 to 2</t>
  </si>
  <si>
    <t>Z43x  4 to 3</t>
  </si>
  <si>
    <t>Z45x  4 to 5</t>
  </si>
  <si>
    <t>Z54x  5 to 4</t>
  </si>
  <si>
    <t>Z53x  5 to 3</t>
  </si>
  <si>
    <t>Z52x  5 to 2</t>
  </si>
  <si>
    <t>Z51x  5 to 1</t>
  </si>
  <si>
    <t xml:space="preserve">Mutual z is the impedance between any two elem. Again, we will have + &amp; - </t>
  </si>
  <si>
    <t>sign results. You haveto decide which one is correct. Refer to the note above</t>
  </si>
  <si>
    <t>Zm12= -Z12x+/- sqrt(Z12x-Z11)(Z12x-Z22)</t>
  </si>
  <si>
    <t>Zm51= -Z51x+/- sqrt(Z51x-Z55)(Z51x-Z11)     or more generally:</t>
  </si>
  <si>
    <t>Zmab= -Zabx+/-sqrt(Zabx-Zaa)(Zabx-Zbb)</t>
  </si>
  <si>
    <t>Rabx-Raa</t>
  </si>
  <si>
    <t>Xabx-Xaa</t>
  </si>
  <si>
    <t>Rabx-Rbb</t>
  </si>
  <si>
    <t>Xabx-Xbb</t>
  </si>
  <si>
    <t xml:space="preserve">       POLAR</t>
  </si>
  <si>
    <t>S1 (Zabx-Zaa)</t>
  </si>
  <si>
    <t>sqrt S1*S2</t>
  </si>
  <si>
    <t>S2 (Zabx-Zbb)</t>
  </si>
  <si>
    <t>S1</t>
  </si>
  <si>
    <t>S2</t>
  </si>
  <si>
    <t>RECTANGULAR</t>
  </si>
  <si>
    <t>sqrt r</t>
  </si>
  <si>
    <t>sqrt x</t>
  </si>
  <si>
    <t xml:space="preserve">        sum -Zabx+Zsqrt</t>
  </si>
  <si>
    <t xml:space="preserve"> -Rabx-Rsqrt</t>
  </si>
  <si>
    <t xml:space="preserve"> -Rabx+Rsqrt</t>
  </si>
  <si>
    <t xml:space="preserve"> -Xabx+Xsqrt</t>
  </si>
  <si>
    <t xml:space="preserve"> -Xabx-Xsqrt</t>
  </si>
  <si>
    <t xml:space="preserve">         POSITIVE RESULTS OF CALCULATION</t>
  </si>
  <si>
    <t xml:space="preserve">         NEGATIVE RESULTS OF CALCULATION</t>
  </si>
  <si>
    <t>Zm13</t>
  </si>
  <si>
    <t>Zm14</t>
  </si>
  <si>
    <t>Zm15</t>
  </si>
  <si>
    <t>Zm21</t>
  </si>
  <si>
    <t>Zm24</t>
  </si>
  <si>
    <t>Zm23</t>
  </si>
  <si>
    <t>Zm25</t>
  </si>
  <si>
    <t>**************************************************************************</t>
  </si>
  <si>
    <t>a given elem.; the coupled Z (Z12x, Z21x,…) is meas. at each elem  terminals</t>
  </si>
  <si>
    <t xml:space="preserve">Generally speaking, Zmab should  be very close to Zmba, by the reciprocity </t>
  </si>
  <si>
    <t xml:space="preserve">theory. You should nevertheless use both values, to verify you measurement </t>
  </si>
  <si>
    <t>You should use both methods of calculations to verify your measurements and calculations. The general mutual Z curves</t>
  </si>
  <si>
    <t>in the ref. litt. is usually for quarter wave elements. For full size loops, multiply by 4; 1/2w. dp mult. by 2.</t>
  </si>
  <si>
    <t xml:space="preserve">and calc. The correct value will be close to Zaa-2*Zabx or Zbb-2*Zbax; the </t>
  </si>
  <si>
    <t>wrong value will be close to Zaa or Zbb (self Z).</t>
  </si>
  <si>
    <t>M21</t>
  </si>
  <si>
    <t>M24</t>
  </si>
  <si>
    <t>M25</t>
  </si>
  <si>
    <t>M23</t>
  </si>
  <si>
    <t>MUT Z21= +/-SQRT Z11(Z22-Z21)</t>
  </si>
  <si>
    <t>S1= (Zabx-Zaa)</t>
  </si>
  <si>
    <t>S2= (Zabx-Zbb)</t>
  </si>
  <si>
    <t>Z1 = Z11 + I2/I1*ZM12* + I3/I1*ZM13 + I4/I1*ZM14 + I5/I1*ZM15</t>
  </si>
  <si>
    <t xml:space="preserve">Zm12orZm21 value R   = </t>
  </si>
  <si>
    <t>Zm12 or Zm21 value X  =</t>
  </si>
  <si>
    <t xml:space="preserve">Zm13orZm31 value R   = </t>
  </si>
  <si>
    <t xml:space="preserve">Zm14orZm41 value R   = </t>
  </si>
  <si>
    <t xml:space="preserve">Zm15orZm51 value R   = </t>
  </si>
  <si>
    <t>Zm13 or Zm31 value X  =</t>
  </si>
  <si>
    <t>Zm14 or Zm41 value X  =</t>
  </si>
  <si>
    <t>Zm15 or Zm51 value X  =</t>
  </si>
  <si>
    <t>I2/I1*Zm12</t>
  </si>
  <si>
    <t>I4/I1*Zm14</t>
  </si>
  <si>
    <t>I3/I1*Zm13</t>
  </si>
  <si>
    <t>I5/I1*Zm15</t>
  </si>
  <si>
    <t xml:space="preserve">                    RECTANGULAR VALUES OF ABOVE EXPRESSIONS</t>
  </si>
  <si>
    <t xml:space="preserve">              DRIVE IMPEDANCE:</t>
  </si>
  <si>
    <t>FROM THE ABOVE CALC. OF Zm12, Zm21 USING BOTH METHODS, AFTER YOU</t>
  </si>
  <si>
    <t>HAVE DECIDED WHAT MUTUAL Z IS THE PROPER ONE, ENTER HERE THE</t>
  </si>
  <si>
    <t>R AND X VALUES FOR Zm; MAKE SURE YOU HAVE THE PROPER SIGN + OR -</t>
  </si>
  <si>
    <t xml:space="preserve">        DRIVE IMPEDANCE Z1</t>
  </si>
  <si>
    <t xml:space="preserve">        DRIVE IMPEDANCE Z2</t>
  </si>
  <si>
    <t xml:space="preserve">                 Intermediate angles calculations</t>
  </si>
  <si>
    <t>Z2 =</t>
  </si>
  <si>
    <t>Z1 =</t>
  </si>
  <si>
    <t>The formulas for mutual Z of elem.#2 onto elem.#1 and of #1 onto #5 are:</t>
  </si>
  <si>
    <t>SHOULD I USE THE CHOSEN ZM12 INSTEAD OF THE ZM21??</t>
  </si>
  <si>
    <t xml:space="preserve">     (THEY SHOULD BE PRETTY CLOSE THOUGH)</t>
  </si>
  <si>
    <t xml:space="preserve">  ELEMENT  NUMBER 2</t>
  </si>
  <si>
    <t xml:space="preserve">  ELEMENT  NUMBER 1</t>
  </si>
  <si>
    <t xml:space="preserve">  ELEMENT  NUMBER 5</t>
  </si>
  <si>
    <t xml:space="preserve">  ELEMENT  NUMBER 4</t>
  </si>
  <si>
    <t xml:space="preserve">  ELEMENT  NUMBER 3</t>
  </si>
  <si>
    <t>M31</t>
  </si>
  <si>
    <t>M34</t>
  </si>
  <si>
    <t>M35</t>
  </si>
  <si>
    <t>M32</t>
  </si>
  <si>
    <t>Zm31</t>
  </si>
  <si>
    <t>Zm34</t>
  </si>
  <si>
    <t>Zm35</t>
  </si>
  <si>
    <t>Zm32</t>
  </si>
  <si>
    <t>M41</t>
  </si>
  <si>
    <t>M43</t>
  </si>
  <si>
    <t>M45</t>
  </si>
  <si>
    <t>M42</t>
  </si>
  <si>
    <t>Zm41</t>
  </si>
  <si>
    <t>Zm43</t>
  </si>
  <si>
    <t>Zm45</t>
  </si>
  <si>
    <t>Zm42</t>
  </si>
  <si>
    <t>M51</t>
  </si>
  <si>
    <t>M53</t>
  </si>
  <si>
    <t>M52</t>
  </si>
  <si>
    <t>M54</t>
  </si>
  <si>
    <t>Zm51</t>
  </si>
  <si>
    <t>Zm53</t>
  </si>
  <si>
    <t>Zm54</t>
  </si>
  <si>
    <t>Zm52</t>
  </si>
  <si>
    <t>MUT Z31= +/-SQRT Z11(Z33-Z31)</t>
  </si>
  <si>
    <t>MUT Z41= +/-SQRT Z11(Z44-Z41)</t>
  </si>
  <si>
    <t>MUT Z51= +/-SQRT Z11(Z55-Z51)</t>
  </si>
  <si>
    <t>XXXXX</t>
  </si>
  <si>
    <t>R31</t>
  </si>
  <si>
    <t>R32</t>
  </si>
  <si>
    <t>R34</t>
  </si>
  <si>
    <t>R35</t>
  </si>
  <si>
    <t xml:space="preserve">       diff -Zabx-Zsqrt</t>
  </si>
  <si>
    <t>R12</t>
  </si>
  <si>
    <t>R13</t>
  </si>
  <si>
    <t>R14</t>
  </si>
  <si>
    <t>R15</t>
  </si>
  <si>
    <t>R21</t>
  </si>
  <si>
    <t>R23</t>
  </si>
  <si>
    <t>R24</t>
  </si>
  <si>
    <t>R25</t>
  </si>
  <si>
    <t>R41</t>
  </si>
  <si>
    <t>R42</t>
  </si>
  <si>
    <t>R43</t>
  </si>
  <si>
    <t>R45</t>
  </si>
  <si>
    <t>R51</t>
  </si>
  <si>
    <t>R52</t>
  </si>
  <si>
    <t>R53</t>
  </si>
  <si>
    <t>R54</t>
  </si>
  <si>
    <t xml:space="preserve">        DRIVE IMPEDANCE Z5</t>
  </si>
  <si>
    <t>Z5 =</t>
  </si>
  <si>
    <t>Z4 =</t>
  </si>
  <si>
    <t xml:space="preserve">        DRIVE IMPEDANCE Z4</t>
  </si>
  <si>
    <t>Z3 =</t>
  </si>
  <si>
    <t xml:space="preserve">        DRIVE IMPEDANCE Z3</t>
  </si>
  <si>
    <t>MUT Z23= +/-SQRT Z33Z22-Z23)</t>
  </si>
  <si>
    <t>MUT Z13= SQRT Z33(Z11-Z13)</t>
  </si>
  <si>
    <t>MUT Z32= +/-SQRT Z22(Z33-Z32)</t>
  </si>
  <si>
    <t>MUT Z42= +/-SQRT Z22(Z44-Z42)</t>
  </si>
  <si>
    <t>MUT Z52= +/-SQRT Z22(Z55-Z52)</t>
  </si>
  <si>
    <t>M5n R</t>
  </si>
  <si>
    <t>M5n X</t>
  </si>
  <si>
    <t>r55-r5n</t>
  </si>
  <si>
    <t>x55-x5n</t>
  </si>
  <si>
    <t xml:space="preserve">        e.g. Z55-Z5n</t>
  </si>
  <si>
    <t xml:space="preserve">        POLAR of Znn</t>
  </si>
  <si>
    <t>Znn MAGN</t>
  </si>
  <si>
    <t>Znn ANGLE</t>
  </si>
  <si>
    <t xml:space="preserve">        e.g. Z44-Z4n</t>
  </si>
  <si>
    <t xml:space="preserve">        e.g. Z33-Z3n</t>
  </si>
  <si>
    <t xml:space="preserve">        e.g. Z22-Z2n</t>
  </si>
  <si>
    <t xml:space="preserve">        e.g. Z11-Z1n</t>
  </si>
  <si>
    <t>x11-x1n</t>
  </si>
  <si>
    <t>r11-r1n</t>
  </si>
  <si>
    <t>M1n X</t>
  </si>
  <si>
    <t>M1n R</t>
  </si>
  <si>
    <t xml:space="preserve">         (Znn+sub)/2</t>
  </si>
  <si>
    <t>sqrtZnnXsub</t>
  </si>
  <si>
    <t>M4n R</t>
  </si>
  <si>
    <t>M4n X</t>
  </si>
  <si>
    <t>r44-r4n</t>
  </si>
  <si>
    <t>x44-x4n</t>
  </si>
  <si>
    <t>M3n R</t>
  </si>
  <si>
    <t>M3n X</t>
  </si>
  <si>
    <t>M2n X</t>
  </si>
  <si>
    <t>M2n R</t>
  </si>
  <si>
    <t>r22-r2n</t>
  </si>
  <si>
    <t>x22-x2n</t>
  </si>
  <si>
    <t>x33-x3n</t>
  </si>
  <si>
    <t>r33-r3n</t>
  </si>
  <si>
    <t>Z3 = Z33 + I1/I3*ZM31* + I2/I3*ZM32 + I4/I3*ZM34 + I5/I3*ZM35</t>
  </si>
  <si>
    <t>Z2 = Z22 + I1/I2*ZM21* + I3/I2*ZM23 + I4/I2*ZM24 + I5/I2*ZM25</t>
  </si>
  <si>
    <t>Z4 = Z44 + I1/I4*ZM41* + I2/I4*ZM42 + I3/I4*ZM43 + I5/I4*ZM45</t>
  </si>
  <si>
    <t>Z5 = Z55 + I1/I5*ZM51* + I2/I5*ZM52 + I3/I5*ZM53 + I4/I5*ZM54</t>
  </si>
  <si>
    <t xml:space="preserve">Zm23orZm32 value R   = </t>
  </si>
  <si>
    <t>Zm23 or Zm32 value X  =</t>
  </si>
  <si>
    <t xml:space="preserve">Zm24orZm42 value R   = </t>
  </si>
  <si>
    <t>Zm24 or Zm42 value X  =</t>
  </si>
  <si>
    <t xml:space="preserve">Zm25orZm52 value R   = </t>
  </si>
  <si>
    <t>Zm25 or Zm52 value X  =</t>
  </si>
  <si>
    <t>%%%%%%%%%%%%%%%%%%%%%%%%%%%%%%%%%%%%%</t>
  </si>
  <si>
    <t xml:space="preserve">Zm21orZm12 value R   = </t>
  </si>
  <si>
    <t>Zm21 or Zm12 value X  =</t>
  </si>
  <si>
    <t>I1/I2*Zm21</t>
  </si>
  <si>
    <t>I3/I2*Zm23</t>
  </si>
  <si>
    <t>I4/I2*Zm14</t>
  </si>
  <si>
    <t>I5/I2*Zm25</t>
  </si>
  <si>
    <t xml:space="preserve">Zm31orZm13 value R   = </t>
  </si>
  <si>
    <t>Zm31 or Zm13 value X  =</t>
  </si>
  <si>
    <t>Zm32 or Zm23 value X  =</t>
  </si>
  <si>
    <t xml:space="preserve">Zm32orZm23 value R   = </t>
  </si>
  <si>
    <t>Zm34 or Zm43 value X  =</t>
  </si>
  <si>
    <t>Zm45 or Zm54 value X  =</t>
  </si>
  <si>
    <t xml:space="preserve">Zm45orZm54 value R   = </t>
  </si>
  <si>
    <t xml:space="preserve">Zm43orZm34 value R   = </t>
  </si>
  <si>
    <t xml:space="preserve">Zm34orZm43 value R   = </t>
  </si>
  <si>
    <t>Zm35 or Zm53 value X  =</t>
  </si>
  <si>
    <t xml:space="preserve">Zm35orZm53 value R   = </t>
  </si>
  <si>
    <t>I1/I3*Zm31</t>
  </si>
  <si>
    <t>I2/I3*Zm32</t>
  </si>
  <si>
    <t>I4/I3*Zm34</t>
  </si>
  <si>
    <t>I5/I3*Zm35</t>
  </si>
  <si>
    <t xml:space="preserve">Zm41orZm14 value R   = </t>
  </si>
  <si>
    <t>Zm41 or Zm14 value X  =</t>
  </si>
  <si>
    <t xml:space="preserve">Zm42orZm24 value R   = </t>
  </si>
  <si>
    <t>Zm43 or Zm34 value X  =</t>
  </si>
  <si>
    <t>Zm42 or Zm24 value X  =</t>
  </si>
  <si>
    <t>I1/I4*Zm41</t>
  </si>
  <si>
    <t>I2/I4*Zm42</t>
  </si>
  <si>
    <t>I3/I4*Zm43</t>
  </si>
  <si>
    <t>I5/I4*Zm45</t>
  </si>
  <si>
    <t>FROM THE ABOVE CALC. OF Zm15, Zm51 USING BOTH METHODS, AFTER YOU</t>
  </si>
  <si>
    <t>FROM THE ABOVE CALC. OF Zm42, Zm24 USING BOTH METHODS, AFTER YOU</t>
  </si>
  <si>
    <t>FROM THE ABOVE CALC. OF Zm32, Zm23 USING BOTH METHODS, AFTER YOU</t>
  </si>
  <si>
    <t xml:space="preserve">Zm51orZm15 value R   = </t>
  </si>
  <si>
    <t>Zm51 or Zm15 value X  =</t>
  </si>
  <si>
    <t xml:space="preserve">Zm52orZm25 value R   = </t>
  </si>
  <si>
    <t>Zm52 or Zm25 value X  =</t>
  </si>
  <si>
    <t xml:space="preserve">Zm53orZm35 value R   = </t>
  </si>
  <si>
    <t>Zm53 or Zm35 value X  =</t>
  </si>
  <si>
    <t xml:space="preserve">Zm54orZm45 value R   = </t>
  </si>
  <si>
    <t>Zm54 or Zm45 value X  =</t>
  </si>
  <si>
    <t>I1/I5*Zm51</t>
  </si>
  <si>
    <t>I2/I5*Zm52</t>
  </si>
  <si>
    <t>I3/I5*Zm53</t>
  </si>
  <si>
    <t>I4/I5*Zm54</t>
  </si>
  <si>
    <t>SECTION OF MATHEMATICAL CALCULATIONS FOR RESULTS ON LEFT</t>
  </si>
  <si>
    <t xml:space="preserve">               METHOD #1 CALCULATIONS</t>
  </si>
  <si>
    <t xml:space="preserve">           METHOD #2 CALCULATIONS</t>
  </si>
  <si>
    <t>Zm12 = Z11-2*Z12x</t>
  </si>
  <si>
    <t>Z12x=</t>
  </si>
  <si>
    <t>Z11=</t>
  </si>
  <si>
    <t>Z22=</t>
  </si>
  <si>
    <t>ENTER HERE THE VALUES:</t>
  </si>
  <si>
    <t>Zmab = Zaa-2*Zabx</t>
  </si>
  <si>
    <t xml:space="preserve">             OR</t>
  </si>
  <si>
    <r>
      <t xml:space="preserve">        </t>
    </r>
    <r>
      <rPr>
        <b/>
        <sz val="10"/>
        <rFont val="Arial"/>
        <family val="2"/>
      </rPr>
      <t>R</t>
    </r>
  </si>
  <si>
    <t xml:space="preserve">      X</t>
  </si>
  <si>
    <r>
      <t xml:space="preserve">      </t>
    </r>
    <r>
      <rPr>
        <b/>
        <sz val="10"/>
        <rFont val="Arial"/>
        <family val="2"/>
      </rPr>
      <t>BUT SHOULD NOT EQUAL -Z11, OR -Z22</t>
    </r>
  </si>
  <si>
    <t xml:space="preserve"> INPUTS WINDOWS</t>
  </si>
  <si>
    <t>NOTA BENE: ENTER YOUR INPUTS ONLY IN THE WHITEOUT AREAS</t>
  </si>
  <si>
    <t>BETTER MAKE A COPY OF THIS SPREADSHEET IN CASE YOU TYPE IN AREAS YOU SHOULD NOT!!!</t>
  </si>
  <si>
    <t>JOIN 2 ELEMENTS WITH 1/2,1 OR 1.5W MAX LENGTH COAX OF SAME Z AS THE ELEMENTS</t>
  </si>
  <si>
    <t>R</t>
  </si>
  <si>
    <t>X</t>
  </si>
  <si>
    <t>PHASE</t>
  </si>
  <si>
    <t>MAGNITUDE   PHASE</t>
  </si>
  <si>
    <t>CURRENT IN DRIVEN ELEMENT</t>
  </si>
  <si>
    <t>CURRENT IN COUPLED ELEMENT</t>
  </si>
  <si>
    <t>SELF Z OF THE COUPLED ELEMENT</t>
  </si>
  <si>
    <t>a+/-bj</t>
  </si>
  <si>
    <t>POS &gt;</t>
  </si>
  <si>
    <t>FOR METHOD #2, Zmab CALCULATED ABOVE, SHOULD EQUAL ABOUT Zaa-2*Zabx or Zbb-2*Zbax</t>
  </si>
  <si>
    <t>AND SHOULD BE ABOUT THE SAME VALUES AS FOUND BY METHOD #1 ABOVE</t>
  </si>
  <si>
    <t>ENTER HERE THE VALUES YOU HAVE MEASURED ON YOUR ARRAY</t>
  </si>
  <si>
    <t>Icoupled</t>
  </si>
  <si>
    <t>I driven</t>
  </si>
  <si>
    <t>Zmab</t>
  </si>
  <si>
    <t>Zbb</t>
  </si>
  <si>
    <t>i coupled/i driven</t>
  </si>
  <si>
    <t xml:space="preserve">        -Zmab/Zbb</t>
  </si>
  <si>
    <t>NOW FOR THE REAL PROOF THAT YOU MEASURED EVERYTHING WITH CARE AND DUE DILIGENCE, SHORT CIRCUIT</t>
  </si>
  <si>
    <t>ELEMENT #2 AND DRIVE ELEMENT #1 WITH ABOUT TEN WATTS; MAKE SURE YOU OPEN CIRCUIT ALL OTHER ELEMENTS</t>
  </si>
  <si>
    <t xml:space="preserve">FOR EXAMPLE, DRIVE EL.#1 AND SHORT CIRCUIT EL #2; MEASURE I1 AND I2 AND ENTER YOUR VALUES IN THE WHITE </t>
  </si>
  <si>
    <t xml:space="preserve">AREAS  BELOW, SO THAT I2/I1 = -Zm12/Z22, I2 IS THE COUPLED CURRENT, I1 IS THE DRIVEN CURRENT, Zm12 IS WHAT WAS </t>
  </si>
  <si>
    <t>FOR THE SPACING BETWEEN THOSE TWO ELEMENTS AND Z22 IS THE SELF Z OF THE COUPLED ELEMENT.</t>
  </si>
  <si>
    <t>SELECTED MUTUAL FOR THOSE 2 ELEM.</t>
  </si>
  <si>
    <t>1ST SET</t>
  </si>
  <si>
    <t>2ND SET</t>
  </si>
  <si>
    <t>I2/I1 = Ib/Ia = Icoupled/idriven</t>
  </si>
  <si>
    <t>ASSUME THAT THE DRIVEN ELEMENT IS THE REFERENCE, WITH A PHASE OF ZERO DEGREES.</t>
  </si>
  <si>
    <t xml:space="preserve">THE TWO SETS OF cartesian VALUES ABOVE BETTER BE PRETTY CLOSE </t>
  </si>
  <si>
    <t>TO EACH OTHER!!!! IGNORE THE POLAR VALUES IF YOU CANNOT</t>
  </si>
  <si>
    <t xml:space="preserve">MEASURE THE PHASES; THE RATIO OF AMPLITUDES ALONE WILL </t>
  </si>
  <si>
    <t>GIVE YOU A GOOD INDICATION.</t>
  </si>
  <si>
    <t>CALCULATED ON THIS SPREADSHEET</t>
  </si>
  <si>
    <t xml:space="preserve">AND THAT YOU HAVE SELECTED AS BEING THE CORRECT MUTUAL IMPEDANCE </t>
  </si>
  <si>
    <t>**THIS SELF X, LESS COUPLED X WILL ALWAYS BE NEGATIVE</t>
  </si>
  <si>
    <t>BECAUSE COUPLING IS ALWAYS INDUCTIVE.</t>
  </si>
  <si>
    <t>IF Xs=+12, Xc=12.5 (|Xc| WILL ALWAYS BE &gt;12); DIFF = 12-12.5= -0.5</t>
  </si>
  <si>
    <t>**FOR DELTA LOOPS, EACH PAIR OF EL.SPACED HALF WAVE OR MORE ON 80M, YOU'LL</t>
  </si>
  <si>
    <t xml:space="preserve">FIND VERY LITTLE INDUCTIVE COUPLING; FOR EXAMPLE IF EL. SPACING IS 1/4 WAVE, </t>
  </si>
  <si>
    <t>**THE CALC MUTUAL POLAR ANGLE (COL x + COL z) IS ALWAYS &lt; 0 (REF K2BT HAM RADIO JULY83)</t>
  </si>
  <si>
    <t>IF Xs=-12, Xc=-11.8(|Xc| WILL ALWAYS BE &lt;12); DIFF = -12-(-11.8)= -0.2;</t>
  </si>
  <si>
    <t>SELF X (Z11), YOU HAVE MADE A WRONG MEASUREMENT.</t>
  </si>
  <si>
    <t>COUPLING BETWEEN ELEMENTS 2 AND 4, OR 2 AND 5.WILL BE MINIMAL, IF MEASUREABLE;</t>
  </si>
  <si>
    <t>FOR THIS REASON, if you measure COUPLED X= SELF X, enter a COUPLED X value slightly inductive.</t>
  </si>
  <si>
    <t>Z21x=</t>
  </si>
  <si>
    <t>Zm21  = Z22-2*Z21x</t>
  </si>
  <si>
    <t xml:space="preserve">        OR</t>
  </si>
  <si>
    <t>Zmab (Zm12,Zm21)</t>
  </si>
  <si>
    <t>PROOFS OF CALCULATIONS METHOD #2</t>
  </si>
  <si>
    <t xml:space="preserve">        THESE VALUES SHOULD BE VERY CLOSE</t>
  </si>
  <si>
    <t xml:space="preserve">         TO THE CALCULATED VALUES OF METHODS</t>
  </si>
  <si>
    <t xml:space="preserve">         #1 (M12) AND #2 (Zm12) ABOVE</t>
  </si>
  <si>
    <t xml:space="preserve">            SELF IMPEDANCE Zaa OR Zbb</t>
  </si>
  <si>
    <t xml:space="preserve">            SELF IMPEDANCE Zbb OR Zaa</t>
  </si>
  <si>
    <t xml:space="preserve">            COUPLED CONNECTED Zabx</t>
  </si>
  <si>
    <t xml:space="preserve">            COUPLED CONNECTED Zbax</t>
  </si>
  <si>
    <t xml:space="preserve">AND MEASURE THE CURRENT IN EACH ELEMENT. THE CURRENT RATIO OF THE COUPLED ELEMENT TO THE CURRENT </t>
  </si>
  <si>
    <t>ELEMENTS AND THE SELF IMPEDANCE OF THE COUPLED ELEMENT.</t>
  </si>
  <si>
    <t>IN THE DRIVEN ELEMENT, SHOULD BE EQUAL TO MINUS THE RATIO OF THE MUTUAL IMPEDANCE BETWEEN THOSE TWO</t>
  </si>
  <si>
    <t>I2/I1=-Zm12/Z22</t>
  </si>
  <si>
    <t>Zm12/Z22= Zmab/Zbb=mutual Z / self Z coupled</t>
  </si>
  <si>
    <t>-Z34X+/-SQRT( (Z34X-Z33)(Z34X-Z44))</t>
  </si>
  <si>
    <t>VA2GU MUTUAL AND DRIVE IMPEDANCE FOR UP TO 5 EL. PHASED ARRAYS</t>
  </si>
  <si>
    <t>When calculating mutual z, the sqrt provides plus and minus sign results. You have to chose the right sign, based on the</t>
  </si>
  <si>
    <t>The tables below, calculate and use both + and - values. You have to chose the right sign.</t>
  </si>
  <si>
    <t>rev. 01r.0</t>
  </si>
  <si>
    <t>va2gu array phasing.xls sht 1 of 2</t>
  </si>
  <si>
    <t>va2gu array phasing.xls sht 2 of 2</t>
  </si>
  <si>
    <t>**IF YOU FIND THAT THE COUPLED X (e.g.Z12) IS LESS (NEG AND POS) THAN THE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</si>
</sst>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dd\ mmmm\,\ yyyy"/>
    <numFmt numFmtId="165" formatCode="00000"/>
    <numFmt numFmtId="166" formatCode="0.000"/>
    <numFmt numFmtId="167" formatCode="0.0"/>
    <numFmt numFmtId="168" formatCode="0.0000"/>
  </numFmts>
  <fonts count="2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u val="single"/>
      <sz val="8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6.5"/>
      <name val="Arial"/>
      <family val="2"/>
    </font>
    <font>
      <b/>
      <i/>
      <u val="single"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u val="single"/>
      <sz val="13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u val="single"/>
      <sz val="6.5"/>
      <name val="Arial"/>
      <family val="2"/>
    </font>
    <font>
      <b/>
      <u val="single"/>
      <sz val="9.5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darkVertical">
        <bgColor indexed="16"/>
      </patternFill>
    </fill>
    <fill>
      <patternFill patternType="gray0625">
        <bgColor indexed="45"/>
      </patternFill>
    </fill>
    <fill>
      <patternFill patternType="gray0625">
        <bgColor indexed="14"/>
      </patternFill>
    </fill>
    <fill>
      <patternFill patternType="darkHorizontal">
        <bgColor indexed="61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2" borderId="1" xfId="0" applyFont="1" applyFill="1" applyBorder="1" applyAlignment="1">
      <alignment horizontal="left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0" fontId="10" fillId="0" borderId="0" xfId="0" applyFont="1" applyAlignment="1">
      <alignment/>
    </xf>
    <xf numFmtId="2" fontId="1" fillId="2" borderId="3" xfId="0" applyNumberFormat="1" applyFont="1" applyFill="1" applyBorder="1" applyAlignment="1">
      <alignment/>
    </xf>
    <xf numFmtId="168" fontId="1" fillId="0" borderId="4" xfId="0" applyNumberFormat="1" applyFont="1" applyBorder="1" applyAlignment="1">
      <alignment/>
    </xf>
    <xf numFmtId="2" fontId="1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2" fontId="1" fillId="2" borderId="5" xfId="0" applyNumberFormat="1" applyFont="1" applyFill="1" applyBorder="1" applyAlignment="1">
      <alignment horizontal="right"/>
    </xf>
    <xf numFmtId="0" fontId="7" fillId="2" borderId="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2" fontId="9" fillId="2" borderId="3" xfId="0" applyNumberFormat="1" applyFont="1" applyFill="1" applyBorder="1" applyAlignment="1">
      <alignment horizontal="right"/>
    </xf>
    <xf numFmtId="2" fontId="9" fillId="2" borderId="5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left"/>
    </xf>
    <xf numFmtId="0" fontId="9" fillId="2" borderId="5" xfId="0" applyNumberFormat="1" applyFont="1" applyFill="1" applyBorder="1" applyAlignment="1">
      <alignment horizontal="center"/>
    </xf>
    <xf numFmtId="2" fontId="1" fillId="3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5" fillId="4" borderId="6" xfId="0" applyFont="1" applyFill="1" applyBorder="1" applyAlignment="1">
      <alignment/>
    </xf>
    <xf numFmtId="0" fontId="0" fillId="4" borderId="7" xfId="0" applyFill="1" applyBorder="1" applyAlignment="1">
      <alignment/>
    </xf>
    <xf numFmtId="0" fontId="1" fillId="2" borderId="5" xfId="0" applyFont="1" applyFill="1" applyBorder="1" applyAlignment="1">
      <alignment/>
    </xf>
    <xf numFmtId="167" fontId="1" fillId="2" borderId="5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11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5" fillId="3" borderId="9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49" fontId="1" fillId="3" borderId="9" xfId="0" applyNumberFormat="1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5" fillId="3" borderId="11" xfId="0" applyFont="1" applyFill="1" applyBorder="1" applyAlignment="1">
      <alignment/>
    </xf>
    <xf numFmtId="0" fontId="5" fillId="3" borderId="14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15" xfId="0" applyFont="1" applyFill="1" applyBorder="1" applyAlignment="1">
      <alignment/>
    </xf>
    <xf numFmtId="0" fontId="5" fillId="3" borderId="17" xfId="0" applyFont="1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2" fontId="0" fillId="0" borderId="0" xfId="0" applyNumberFormat="1" applyAlignment="1">
      <alignment/>
    </xf>
    <xf numFmtId="0" fontId="1" fillId="3" borderId="0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6" fontId="1" fillId="6" borderId="20" xfId="0" applyNumberFormat="1" applyFont="1" applyFill="1" applyBorder="1" applyAlignment="1">
      <alignment/>
    </xf>
    <xf numFmtId="166" fontId="0" fillId="6" borderId="21" xfId="0" applyNumberFormat="1" applyFill="1" applyBorder="1" applyAlignment="1">
      <alignment/>
    </xf>
    <xf numFmtId="166" fontId="1" fillId="6" borderId="21" xfId="0" applyNumberFormat="1" applyFont="1" applyFill="1" applyBorder="1" applyAlignment="1">
      <alignment/>
    </xf>
    <xf numFmtId="166" fontId="1" fillId="6" borderId="22" xfId="0" applyNumberFormat="1" applyFont="1" applyFill="1" applyBorder="1" applyAlignment="1">
      <alignment/>
    </xf>
    <xf numFmtId="166" fontId="0" fillId="6" borderId="23" xfId="0" applyNumberFormat="1" applyFill="1" applyBorder="1" applyAlignment="1">
      <alignment/>
    </xf>
    <xf numFmtId="166" fontId="1" fillId="6" borderId="24" xfId="0" applyNumberFormat="1" applyFont="1" applyFill="1" applyBorder="1" applyAlignment="1">
      <alignment/>
    </xf>
    <xf numFmtId="166" fontId="1" fillId="6" borderId="25" xfId="0" applyNumberFormat="1" applyFont="1" applyFill="1" applyBorder="1" applyAlignment="1">
      <alignment/>
    </xf>
    <xf numFmtId="166" fontId="1" fillId="6" borderId="26" xfId="0" applyNumberFormat="1" applyFont="1" applyFill="1" applyBorder="1" applyAlignment="1">
      <alignment/>
    </xf>
    <xf numFmtId="166" fontId="1" fillId="6" borderId="27" xfId="0" applyNumberFormat="1" applyFont="1" applyFill="1" applyBorder="1" applyAlignment="1">
      <alignment/>
    </xf>
    <xf numFmtId="166" fontId="1" fillId="6" borderId="28" xfId="0" applyNumberFormat="1" applyFont="1" applyFill="1" applyBorder="1" applyAlignment="1">
      <alignment/>
    </xf>
    <xf numFmtId="49" fontId="1" fillId="3" borderId="29" xfId="0" applyNumberFormat="1" applyFont="1" applyFill="1" applyBorder="1" applyAlignment="1">
      <alignment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12" fillId="3" borderId="9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13" fillId="3" borderId="0" xfId="0" applyFont="1" applyFill="1" applyBorder="1" applyAlignment="1">
      <alignment horizontal="center"/>
    </xf>
    <xf numFmtId="0" fontId="0" fillId="7" borderId="14" xfId="0" applyFill="1" applyBorder="1" applyAlignment="1">
      <alignment/>
    </xf>
    <xf numFmtId="0" fontId="4" fillId="7" borderId="0" xfId="0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15" xfId="0" applyFill="1" applyBorder="1" applyAlignment="1">
      <alignment/>
    </xf>
    <xf numFmtId="0" fontId="11" fillId="7" borderId="14" xfId="0" applyFont="1" applyFill="1" applyBorder="1" applyAlignment="1">
      <alignment/>
    </xf>
    <xf numFmtId="0" fontId="0" fillId="7" borderId="14" xfId="0" applyNumberFormat="1" applyFill="1" applyBorder="1" applyAlignment="1">
      <alignment/>
    </xf>
    <xf numFmtId="0" fontId="2" fillId="7" borderId="14" xfId="0" applyNumberFormat="1" applyFont="1" applyFill="1" applyBorder="1" applyAlignment="1">
      <alignment horizontal="center"/>
    </xf>
    <xf numFmtId="0" fontId="2" fillId="7" borderId="0" xfId="0" applyNumberFormat="1" applyFont="1" applyFill="1" applyBorder="1" applyAlignment="1">
      <alignment horizontal="right"/>
    </xf>
    <xf numFmtId="2" fontId="1" fillId="7" borderId="0" xfId="0" applyNumberFormat="1" applyFont="1" applyFill="1" applyBorder="1" applyAlignment="1">
      <alignment/>
    </xf>
    <xf numFmtId="0" fontId="0" fillId="7" borderId="14" xfId="0" applyNumberFormat="1" applyFont="1" applyFill="1" applyBorder="1" applyAlignment="1">
      <alignment/>
    </xf>
    <xf numFmtId="2" fontId="0" fillId="7" borderId="0" xfId="0" applyNumberFormat="1" applyFont="1" applyFill="1" applyBorder="1" applyAlignment="1">
      <alignment/>
    </xf>
    <xf numFmtId="0" fontId="0" fillId="7" borderId="0" xfId="0" applyNumberFormat="1" applyFont="1" applyFill="1" applyBorder="1" applyAlignment="1">
      <alignment/>
    </xf>
    <xf numFmtId="0" fontId="0" fillId="7" borderId="0" xfId="0" applyNumberFormat="1" applyFont="1" applyFill="1" applyBorder="1" applyAlignment="1">
      <alignment horizontal="right"/>
    </xf>
    <xf numFmtId="0" fontId="0" fillId="7" borderId="0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0" xfId="0" applyFill="1" applyAlignment="1">
      <alignment/>
    </xf>
    <xf numFmtId="0" fontId="4" fillId="7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3" borderId="1" xfId="0" applyFill="1" applyBorder="1" applyAlignment="1">
      <alignment/>
    </xf>
    <xf numFmtId="0" fontId="1" fillId="8" borderId="3" xfId="0" applyFont="1" applyFill="1" applyBorder="1" applyAlignment="1">
      <alignment/>
    </xf>
    <xf numFmtId="0" fontId="0" fillId="8" borderId="5" xfId="0" applyFill="1" applyBorder="1" applyAlignment="1">
      <alignment/>
    </xf>
    <xf numFmtId="0" fontId="0" fillId="8" borderId="1" xfId="0" applyFill="1" applyBorder="1" applyAlignment="1">
      <alignment/>
    </xf>
    <xf numFmtId="0" fontId="1" fillId="3" borderId="5" xfId="0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1" fillId="9" borderId="0" xfId="0" applyFont="1" applyFill="1" applyBorder="1" applyAlignment="1">
      <alignment/>
    </xf>
    <xf numFmtId="0" fontId="0" fillId="9" borderId="0" xfId="0" applyFill="1" applyBorder="1" applyAlignment="1">
      <alignment/>
    </xf>
    <xf numFmtId="0" fontId="0" fillId="9" borderId="0" xfId="0" applyFill="1" applyAlignment="1">
      <alignment/>
    </xf>
    <xf numFmtId="0" fontId="1" fillId="9" borderId="8" xfId="0" applyFont="1" applyFill="1" applyBorder="1" applyAlignment="1">
      <alignment/>
    </xf>
    <xf numFmtId="0" fontId="0" fillId="9" borderId="8" xfId="0" applyFill="1" applyBorder="1" applyAlignment="1">
      <alignment/>
    </xf>
    <xf numFmtId="0" fontId="12" fillId="3" borderId="0" xfId="0" applyFont="1" applyFill="1" applyBorder="1" applyAlignment="1">
      <alignment horizontal="center"/>
    </xf>
    <xf numFmtId="0" fontId="0" fillId="3" borderId="11" xfId="0" applyFont="1" applyFill="1" applyBorder="1" applyAlignment="1">
      <alignment/>
    </xf>
    <xf numFmtId="0" fontId="1" fillId="3" borderId="12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2" fillId="3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166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6" fontId="1" fillId="8" borderId="31" xfId="0" applyNumberFormat="1" applyFont="1" applyFill="1" applyBorder="1" applyAlignment="1">
      <alignment/>
    </xf>
    <xf numFmtId="166" fontId="1" fillId="8" borderId="32" xfId="0" applyNumberFormat="1" applyFont="1" applyFill="1" applyBorder="1" applyAlignment="1">
      <alignment/>
    </xf>
    <xf numFmtId="2" fontId="1" fillId="8" borderId="31" xfId="0" applyNumberFormat="1" applyFont="1" applyFill="1" applyBorder="1" applyAlignment="1">
      <alignment/>
    </xf>
    <xf numFmtId="2" fontId="1" fillId="8" borderId="32" xfId="0" applyNumberFormat="1" applyFont="1" applyFill="1" applyBorder="1" applyAlignment="1">
      <alignment/>
    </xf>
    <xf numFmtId="0" fontId="5" fillId="8" borderId="3" xfId="0" applyFont="1" applyFill="1" applyBorder="1" applyAlignment="1">
      <alignment/>
    </xf>
    <xf numFmtId="0" fontId="5" fillId="8" borderId="5" xfId="0" applyFont="1" applyFill="1" applyBorder="1" applyAlignment="1">
      <alignment/>
    </xf>
    <xf numFmtId="2" fontId="1" fillId="8" borderId="33" xfId="0" applyNumberFormat="1" applyFont="1" applyFill="1" applyBorder="1" applyAlignment="1">
      <alignment/>
    </xf>
    <xf numFmtId="2" fontId="1" fillId="8" borderId="34" xfId="0" applyNumberFormat="1" applyFont="1" applyFill="1" applyBorder="1" applyAlignment="1">
      <alignment/>
    </xf>
    <xf numFmtId="2" fontId="1" fillId="8" borderId="3" xfId="0" applyNumberFormat="1" applyFont="1" applyFill="1" applyBorder="1" applyAlignment="1">
      <alignment horizontal="right"/>
    </xf>
    <xf numFmtId="2" fontId="1" fillId="8" borderId="5" xfId="0" applyNumberFormat="1" applyFont="1" applyFill="1" applyBorder="1" applyAlignment="1">
      <alignment horizontal="center"/>
    </xf>
    <xf numFmtId="0" fontId="1" fillId="8" borderId="1" xfId="0" applyNumberFormat="1" applyFont="1" applyFill="1" applyBorder="1" applyAlignment="1">
      <alignment/>
    </xf>
    <xf numFmtId="2" fontId="1" fillId="8" borderId="3" xfId="0" applyNumberFormat="1" applyFont="1" applyFill="1" applyBorder="1" applyAlignment="1">
      <alignment horizontal="center"/>
    </xf>
    <xf numFmtId="2" fontId="1" fillId="8" borderId="5" xfId="0" applyNumberFormat="1" applyFont="1" applyFill="1" applyBorder="1" applyAlignment="1">
      <alignment/>
    </xf>
    <xf numFmtId="0" fontId="5" fillId="8" borderId="12" xfId="0" applyFont="1" applyFill="1" applyBorder="1" applyAlignment="1">
      <alignment/>
    </xf>
    <xf numFmtId="0" fontId="0" fillId="8" borderId="13" xfId="0" applyFill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1" fillId="7" borderId="14" xfId="0" applyFont="1" applyFill="1" applyBorder="1" applyAlignment="1">
      <alignment/>
    </xf>
    <xf numFmtId="0" fontId="12" fillId="2" borderId="37" xfId="0" applyFont="1" applyFill="1" applyBorder="1" applyAlignment="1">
      <alignment/>
    </xf>
    <xf numFmtId="0" fontId="12" fillId="2" borderId="27" xfId="0" applyFont="1" applyFill="1" applyBorder="1" applyAlignment="1">
      <alignment/>
    </xf>
    <xf numFmtId="0" fontId="14" fillId="2" borderId="27" xfId="0" applyFont="1" applyFill="1" applyBorder="1" applyAlignment="1">
      <alignment/>
    </xf>
    <xf numFmtId="0" fontId="14" fillId="2" borderId="28" xfId="0" applyFont="1" applyFill="1" applyBorder="1" applyAlignment="1">
      <alignment/>
    </xf>
    <xf numFmtId="0" fontId="5" fillId="8" borderId="17" xfId="0" applyFont="1" applyFill="1" applyBorder="1" applyAlignment="1">
      <alignment/>
    </xf>
    <xf numFmtId="0" fontId="0" fillId="6" borderId="38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5" fillId="7" borderId="0" xfId="0" applyFont="1" applyFill="1" applyAlignment="1">
      <alignment/>
    </xf>
    <xf numFmtId="0" fontId="1" fillId="7" borderId="0" xfId="0" applyFont="1" applyFill="1" applyAlignment="1">
      <alignment/>
    </xf>
    <xf numFmtId="1" fontId="1" fillId="7" borderId="0" xfId="0" applyNumberFormat="1" applyFont="1" applyFill="1" applyAlignment="1">
      <alignment/>
    </xf>
    <xf numFmtId="166" fontId="1" fillId="7" borderId="0" xfId="0" applyNumberFormat="1" applyFont="1" applyFill="1" applyAlignment="1">
      <alignment/>
    </xf>
    <xf numFmtId="1" fontId="5" fillId="7" borderId="0" xfId="0" applyNumberFormat="1" applyFont="1" applyFill="1" applyAlignment="1">
      <alignment/>
    </xf>
    <xf numFmtId="0" fontId="9" fillId="8" borderId="5" xfId="0" applyNumberFormat="1" applyFont="1" applyFill="1" applyBorder="1" applyAlignment="1">
      <alignment horizontal="right"/>
    </xf>
    <xf numFmtId="0" fontId="9" fillId="8" borderId="5" xfId="0" applyFont="1" applyFill="1" applyBorder="1" applyAlignment="1">
      <alignment horizontal="right"/>
    </xf>
    <xf numFmtId="0" fontId="1" fillId="7" borderId="15" xfId="0" applyFont="1" applyFill="1" applyBorder="1" applyAlignment="1">
      <alignment/>
    </xf>
    <xf numFmtId="0" fontId="1" fillId="7" borderId="0" xfId="0" applyFont="1" applyFill="1" applyBorder="1" applyAlignment="1" quotePrefix="1">
      <alignment/>
    </xf>
    <xf numFmtId="0" fontId="5" fillId="0" borderId="11" xfId="0" applyFont="1" applyBorder="1" applyAlignment="1">
      <alignment/>
    </xf>
    <xf numFmtId="0" fontId="0" fillId="0" borderId="13" xfId="0" applyBorder="1" applyAlignment="1">
      <alignment/>
    </xf>
    <xf numFmtId="0" fontId="6" fillId="0" borderId="17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1" fillId="0" borderId="15" xfId="0" applyFont="1" applyBorder="1" applyAlignment="1">
      <alignment/>
    </xf>
    <xf numFmtId="0" fontId="5" fillId="0" borderId="39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11" fillId="0" borderId="0" xfId="0" applyFont="1" applyAlignment="1">
      <alignment/>
    </xf>
    <xf numFmtId="0" fontId="0" fillId="8" borderId="0" xfId="0" applyFill="1" applyAlignment="1">
      <alignment/>
    </xf>
    <xf numFmtId="0" fontId="5" fillId="10" borderId="15" xfId="0" applyFont="1" applyFill="1" applyBorder="1" applyAlignment="1">
      <alignment/>
    </xf>
    <xf numFmtId="166" fontId="1" fillId="8" borderId="40" xfId="0" applyNumberFormat="1" applyFont="1" applyFill="1" applyBorder="1" applyAlignment="1">
      <alignment/>
    </xf>
    <xf numFmtId="166" fontId="1" fillId="10" borderId="41" xfId="0" applyNumberFormat="1" applyFont="1" applyFill="1" applyBorder="1" applyAlignment="1">
      <alignment/>
    </xf>
    <xf numFmtId="166" fontId="1" fillId="11" borderId="42" xfId="0" applyNumberFormat="1" applyFont="1" applyFill="1" applyBorder="1" applyAlignment="1">
      <alignment/>
    </xf>
    <xf numFmtId="166" fontId="1" fillId="11" borderId="4" xfId="0" applyNumberFormat="1" applyFont="1" applyFill="1" applyBorder="1" applyAlignment="1">
      <alignment/>
    </xf>
    <xf numFmtId="166" fontId="1" fillId="11" borderId="43" xfId="0" applyNumberFormat="1" applyFont="1" applyFill="1" applyBorder="1" applyAlignment="1">
      <alignment/>
    </xf>
    <xf numFmtId="0" fontId="1" fillId="3" borderId="13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right"/>
    </xf>
    <xf numFmtId="0" fontId="2" fillId="7" borderId="0" xfId="0" applyFont="1" applyFill="1" applyBorder="1" applyAlignment="1">
      <alignment horizontal="right"/>
    </xf>
    <xf numFmtId="2" fontId="1" fillId="10" borderId="3" xfId="0" applyNumberFormat="1" applyFont="1" applyFill="1" applyBorder="1" applyAlignment="1">
      <alignment/>
    </xf>
    <xf numFmtId="2" fontId="1" fillId="10" borderId="5" xfId="0" applyNumberFormat="1" applyFont="1" applyFill="1" applyBorder="1" applyAlignment="1">
      <alignment/>
    </xf>
    <xf numFmtId="0" fontId="1" fillId="10" borderId="1" xfId="0" applyFont="1" applyFill="1" applyBorder="1" applyAlignment="1">
      <alignment/>
    </xf>
    <xf numFmtId="2" fontId="1" fillId="10" borderId="3" xfId="0" applyNumberFormat="1" applyFont="1" applyFill="1" applyBorder="1" applyAlignment="1">
      <alignment/>
    </xf>
    <xf numFmtId="0" fontId="16" fillId="10" borderId="0" xfId="0" applyFont="1" applyFill="1" applyBorder="1" applyAlignment="1">
      <alignment/>
    </xf>
    <xf numFmtId="0" fontId="0" fillId="10" borderId="0" xfId="0" applyFill="1" applyBorder="1" applyAlignment="1">
      <alignment/>
    </xf>
    <xf numFmtId="0" fontId="1" fillId="10" borderId="0" xfId="0" applyFont="1" applyFill="1" applyBorder="1" applyAlignment="1" quotePrefix="1">
      <alignment/>
    </xf>
    <xf numFmtId="0" fontId="16" fillId="8" borderId="0" xfId="0" applyFont="1" applyFill="1" applyBorder="1" applyAlignment="1">
      <alignment/>
    </xf>
    <xf numFmtId="0" fontId="0" fillId="8" borderId="0" xfId="0" applyFill="1" applyBorder="1" applyAlignment="1">
      <alignment/>
    </xf>
    <xf numFmtId="0" fontId="0" fillId="8" borderId="12" xfId="0" applyFill="1" applyBorder="1" applyAlignment="1">
      <alignment/>
    </xf>
    <xf numFmtId="0" fontId="0" fillId="8" borderId="39" xfId="0" applyFill="1" applyBorder="1" applyAlignment="1">
      <alignment/>
    </xf>
    <xf numFmtId="0" fontId="6" fillId="11" borderId="44" xfId="0" applyFont="1" applyFill="1" applyBorder="1" applyAlignment="1">
      <alignment/>
    </xf>
    <xf numFmtId="0" fontId="0" fillId="10" borderId="39" xfId="0" applyFill="1" applyBorder="1" applyAlignment="1">
      <alignment/>
    </xf>
    <xf numFmtId="0" fontId="6" fillId="11" borderId="45" xfId="0" applyFont="1" applyFill="1" applyBorder="1" applyAlignment="1">
      <alignment/>
    </xf>
    <xf numFmtId="0" fontId="1" fillId="8" borderId="0" xfId="0" applyFont="1" applyFill="1" applyBorder="1" applyAlignment="1">
      <alignment/>
    </xf>
    <xf numFmtId="0" fontId="1" fillId="8" borderId="11" xfId="0" applyFont="1" applyFill="1" applyBorder="1" applyAlignment="1">
      <alignment/>
    </xf>
    <xf numFmtId="0" fontId="0" fillId="8" borderId="17" xfId="0" applyFill="1" applyBorder="1" applyAlignment="1">
      <alignment/>
    </xf>
    <xf numFmtId="0" fontId="4" fillId="7" borderId="14" xfId="0" applyFont="1" applyFill="1" applyBorder="1" applyAlignment="1">
      <alignment/>
    </xf>
    <xf numFmtId="0" fontId="6" fillId="7" borderId="14" xfId="0" applyFont="1" applyFill="1" applyBorder="1" applyAlignment="1">
      <alignment/>
    </xf>
    <xf numFmtId="49" fontId="1" fillId="3" borderId="0" xfId="0" applyNumberFormat="1" applyFont="1" applyFill="1" applyBorder="1" applyAlignment="1">
      <alignment/>
    </xf>
    <xf numFmtId="0" fontId="0" fillId="3" borderId="46" xfId="0" applyFill="1" applyBorder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Fill="1" applyBorder="1" applyAlignment="1">
      <alignment/>
    </xf>
    <xf numFmtId="0" fontId="12" fillId="7" borderId="0" xfId="0" applyFont="1" applyFill="1" applyBorder="1" applyAlignment="1">
      <alignment/>
    </xf>
    <xf numFmtId="0" fontId="14" fillId="7" borderId="0" xfId="0" applyFont="1" applyFill="1" applyBorder="1" applyAlignment="1">
      <alignment/>
    </xf>
    <xf numFmtId="0" fontId="5" fillId="7" borderId="0" xfId="0" applyFont="1" applyFill="1" applyBorder="1" applyAlignment="1">
      <alignment/>
    </xf>
    <xf numFmtId="0" fontId="0" fillId="12" borderId="47" xfId="0" applyFill="1" applyBorder="1" applyAlignment="1">
      <alignment/>
    </xf>
    <xf numFmtId="0" fontId="0" fillId="12" borderId="6" xfId="0" applyFill="1" applyBorder="1" applyAlignment="1">
      <alignment/>
    </xf>
    <xf numFmtId="0" fontId="0" fillId="12" borderId="7" xfId="0" applyFill="1" applyBorder="1" applyAlignment="1">
      <alignment/>
    </xf>
    <xf numFmtId="0" fontId="0" fillId="12" borderId="48" xfId="0" applyFill="1" applyBorder="1" applyAlignment="1">
      <alignment/>
    </xf>
    <xf numFmtId="0" fontId="1" fillId="3" borderId="48" xfId="0" applyFont="1" applyFill="1" applyBorder="1" applyAlignment="1">
      <alignment/>
    </xf>
    <xf numFmtId="0" fontId="0" fillId="3" borderId="48" xfId="0" applyFont="1" applyFill="1" applyBorder="1" applyAlignment="1">
      <alignment/>
    </xf>
    <xf numFmtId="2" fontId="1" fillId="7" borderId="0" xfId="0" applyNumberFormat="1" applyFont="1" applyFill="1" applyAlignment="1">
      <alignment horizontal="center"/>
    </xf>
    <xf numFmtId="0" fontId="5" fillId="7" borderId="19" xfId="0" applyFont="1" applyFill="1" applyBorder="1" applyAlignment="1">
      <alignment/>
    </xf>
    <xf numFmtId="0" fontId="1" fillId="7" borderId="19" xfId="0" applyFont="1" applyFill="1" applyBorder="1" applyAlignment="1">
      <alignment/>
    </xf>
    <xf numFmtId="1" fontId="1" fillId="7" borderId="19" xfId="0" applyNumberFormat="1" applyFont="1" applyFill="1" applyBorder="1" applyAlignment="1">
      <alignment/>
    </xf>
    <xf numFmtId="0" fontId="5" fillId="7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0" fillId="8" borderId="47" xfId="0" applyFill="1" applyBorder="1" applyAlignment="1">
      <alignment/>
    </xf>
    <xf numFmtId="0" fontId="1" fillId="8" borderId="47" xfId="0" applyFont="1" applyFill="1" applyBorder="1" applyAlignment="1">
      <alignment horizontal="center"/>
    </xf>
    <xf numFmtId="0" fontId="1" fillId="8" borderId="47" xfId="0" applyFont="1" applyFill="1" applyBorder="1" applyAlignment="1">
      <alignment/>
    </xf>
    <xf numFmtId="2" fontId="2" fillId="8" borderId="47" xfId="0" applyNumberFormat="1" applyFont="1" applyFill="1" applyBorder="1" applyAlignment="1">
      <alignment horizontal="center"/>
    </xf>
    <xf numFmtId="0" fontId="0" fillId="12" borderId="49" xfId="0" applyFill="1" applyBorder="1" applyAlignment="1">
      <alignment/>
    </xf>
    <xf numFmtId="0" fontId="5" fillId="12" borderId="47" xfId="0" applyFont="1" applyFill="1" applyBorder="1" applyAlignment="1">
      <alignment/>
    </xf>
    <xf numFmtId="0" fontId="17" fillId="7" borderId="0" xfId="0" applyFont="1" applyFill="1" applyAlignment="1">
      <alignment/>
    </xf>
    <xf numFmtId="1" fontId="17" fillId="7" borderId="0" xfId="0" applyNumberFormat="1" applyFont="1" applyFill="1" applyAlignment="1">
      <alignment/>
    </xf>
    <xf numFmtId="0" fontId="0" fillId="7" borderId="19" xfId="0" applyFont="1" applyFill="1" applyBorder="1" applyAlignment="1">
      <alignment/>
    </xf>
    <xf numFmtId="1" fontId="1" fillId="7" borderId="0" xfId="0" applyNumberFormat="1" applyFont="1" applyFill="1" applyAlignment="1">
      <alignment horizontal="center"/>
    </xf>
    <xf numFmtId="0" fontId="2" fillId="7" borderId="6" xfId="0" applyFont="1" applyFill="1" applyBorder="1" applyAlignment="1">
      <alignment/>
    </xf>
    <xf numFmtId="0" fontId="2" fillId="7" borderId="48" xfId="0" applyFont="1" applyFill="1" applyBorder="1" applyAlignment="1">
      <alignment/>
    </xf>
    <xf numFmtId="0" fontId="2" fillId="7" borderId="7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1" fillId="5" borderId="0" xfId="0" applyFont="1" applyFill="1" applyAlignment="1">
      <alignment/>
    </xf>
    <xf numFmtId="0" fontId="0" fillId="13" borderId="11" xfId="0" applyFill="1" applyBorder="1" applyAlignment="1">
      <alignment/>
    </xf>
    <xf numFmtId="0" fontId="0" fillId="13" borderId="12" xfId="0" applyFill="1" applyBorder="1" applyAlignment="1">
      <alignment/>
    </xf>
    <xf numFmtId="0" fontId="0" fillId="13" borderId="13" xfId="0" applyFill="1" applyBorder="1" applyAlignment="1">
      <alignment/>
    </xf>
    <xf numFmtId="0" fontId="0" fillId="13" borderId="17" xfId="0" applyFill="1" applyBorder="1" applyAlignment="1">
      <alignment/>
    </xf>
    <xf numFmtId="0" fontId="0" fillId="13" borderId="50" xfId="0" applyFill="1" applyBorder="1" applyAlignment="1">
      <alignment/>
    </xf>
    <xf numFmtId="0" fontId="0" fillId="13" borderId="39" xfId="0" applyFill="1" applyBorder="1" applyAlignment="1">
      <alignment/>
    </xf>
    <xf numFmtId="0" fontId="0" fillId="13" borderId="14" xfId="0" applyFill="1" applyBorder="1" applyAlignment="1">
      <alignment/>
    </xf>
    <xf numFmtId="0" fontId="0" fillId="13" borderId="0" xfId="0" applyFill="1" applyBorder="1" applyAlignment="1">
      <alignment/>
    </xf>
    <xf numFmtId="0" fontId="0" fillId="13" borderId="15" xfId="0" applyFill="1" applyBorder="1" applyAlignment="1">
      <alignment/>
    </xf>
    <xf numFmtId="0" fontId="9" fillId="13" borderId="14" xfId="0" applyFont="1" applyFill="1" applyBorder="1" applyAlignment="1">
      <alignment/>
    </xf>
    <xf numFmtId="0" fontId="14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9" fillId="8" borderId="5" xfId="0" applyNumberFormat="1" applyFont="1" applyFill="1" applyBorder="1" applyAlignment="1">
      <alignment horizontal="right"/>
    </xf>
    <xf numFmtId="0" fontId="2" fillId="7" borderId="0" xfId="0" applyFont="1" applyFill="1" applyBorder="1" applyAlignment="1">
      <alignment/>
    </xf>
    <xf numFmtId="0" fontId="2" fillId="7" borderId="3" xfId="0" applyFont="1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2" fillId="0" borderId="48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14" borderId="17" xfId="0" applyFont="1" applyFill="1" applyBorder="1" applyAlignment="1">
      <alignment/>
    </xf>
    <xf numFmtId="0" fontId="0" fillId="14" borderId="50" xfId="0" applyFill="1" applyBorder="1" applyAlignment="1">
      <alignment/>
    </xf>
    <xf numFmtId="0" fontId="0" fillId="7" borderId="50" xfId="0" applyFill="1" applyBorder="1" applyAlignment="1">
      <alignment/>
    </xf>
    <xf numFmtId="0" fontId="0" fillId="7" borderId="39" xfId="0" applyFill="1" applyBorder="1" applyAlignment="1">
      <alignment/>
    </xf>
    <xf numFmtId="0" fontId="0" fillId="7" borderId="17" xfId="0" applyFill="1" applyBorder="1" applyAlignment="1">
      <alignment/>
    </xf>
    <xf numFmtId="0" fontId="1" fillId="6" borderId="3" xfId="0" applyFont="1" applyFill="1" applyBorder="1" applyAlignment="1">
      <alignment/>
    </xf>
    <xf numFmtId="0" fontId="0" fillId="6" borderId="5" xfId="0" applyFill="1" applyBorder="1" applyAlignment="1">
      <alignment/>
    </xf>
    <xf numFmtId="0" fontId="1" fillId="6" borderId="5" xfId="0" applyFont="1" applyFill="1" applyBorder="1" applyAlignment="1">
      <alignment/>
    </xf>
    <xf numFmtId="0" fontId="0" fillId="6" borderId="1" xfId="0" applyFill="1" applyBorder="1" applyAlignment="1">
      <alignment/>
    </xf>
    <xf numFmtId="0" fontId="12" fillId="15" borderId="0" xfId="0" applyFont="1" applyFill="1" applyAlignment="1">
      <alignment/>
    </xf>
    <xf numFmtId="0" fontId="0" fillId="15" borderId="0" xfId="0" applyFill="1" applyAlignment="1">
      <alignment/>
    </xf>
    <xf numFmtId="0" fontId="12" fillId="16" borderId="0" xfId="0" applyFont="1" applyFill="1" applyAlignment="1">
      <alignment/>
    </xf>
    <xf numFmtId="0" fontId="0" fillId="16" borderId="0" xfId="0" applyFill="1" applyAlignment="1">
      <alignment/>
    </xf>
    <xf numFmtId="0" fontId="1" fillId="8" borderId="1" xfId="0" applyFont="1" applyFill="1" applyBorder="1" applyAlignment="1">
      <alignment/>
    </xf>
    <xf numFmtId="0" fontId="13" fillId="3" borderId="15" xfId="0" applyFont="1" applyFill="1" applyBorder="1" applyAlignment="1">
      <alignment horizontal="center"/>
    </xf>
    <xf numFmtId="0" fontId="0" fillId="17" borderId="18" xfId="0" applyFill="1" applyBorder="1" applyAlignment="1">
      <alignment/>
    </xf>
    <xf numFmtId="0" fontId="0" fillId="17" borderId="8" xfId="0" applyFill="1" applyBorder="1" applyAlignment="1">
      <alignment/>
    </xf>
    <xf numFmtId="0" fontId="0" fillId="17" borderId="16" xfId="0" applyFill="1" applyBorder="1" applyAlignment="1">
      <alignment/>
    </xf>
    <xf numFmtId="0" fontId="5" fillId="17" borderId="10" xfId="0" applyFont="1" applyFill="1" applyBorder="1" applyAlignment="1">
      <alignment/>
    </xf>
    <xf numFmtId="0" fontId="0" fillId="17" borderId="19" xfId="0" applyFill="1" applyBorder="1" applyAlignment="1">
      <alignment/>
    </xf>
    <xf numFmtId="0" fontId="0" fillId="17" borderId="51" xfId="0" applyFill="1" applyBorder="1" applyAlignment="1">
      <alignment/>
    </xf>
    <xf numFmtId="0" fontId="1" fillId="8" borderId="5" xfId="0" applyFont="1" applyFill="1" applyBorder="1" applyAlignment="1">
      <alignment/>
    </xf>
    <xf numFmtId="0" fontId="1" fillId="10" borderId="0" xfId="0" applyFont="1" applyFill="1" applyAlignment="1">
      <alignment/>
    </xf>
    <xf numFmtId="0" fontId="2" fillId="1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3" borderId="50" xfId="0" applyFill="1" applyBorder="1" applyAlignment="1">
      <alignment/>
    </xf>
    <xf numFmtId="0" fontId="1" fillId="3" borderId="50" xfId="0" applyFont="1" applyFill="1" applyBorder="1" applyAlignment="1">
      <alignment/>
    </xf>
    <xf numFmtId="0" fontId="0" fillId="0" borderId="0" xfId="0" applyBorder="1" applyAlignment="1">
      <alignment/>
    </xf>
    <xf numFmtId="0" fontId="1" fillId="3" borderId="11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2" fontId="1" fillId="18" borderId="52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20" fillId="5" borderId="0" xfId="0" applyFont="1" applyFill="1" applyAlignment="1">
      <alignment/>
    </xf>
    <xf numFmtId="0" fontId="15" fillId="3" borderId="9" xfId="0" applyFont="1" applyFill="1" applyBorder="1" applyAlignment="1">
      <alignment/>
    </xf>
    <xf numFmtId="0" fontId="1" fillId="18" borderId="1" xfId="0" applyFont="1" applyFill="1" applyBorder="1" applyAlignment="1">
      <alignment/>
    </xf>
    <xf numFmtId="0" fontId="1" fillId="18" borderId="5" xfId="0" applyFont="1" applyFill="1" applyBorder="1" applyAlignment="1">
      <alignment horizontal="right"/>
    </xf>
    <xf numFmtId="0" fontId="1" fillId="18" borderId="1" xfId="0" applyFont="1" applyFill="1" applyBorder="1" applyAlignment="1">
      <alignment horizontal="right"/>
    </xf>
    <xf numFmtId="0" fontId="5" fillId="3" borderId="3" xfId="0" applyFont="1" applyFill="1" applyBorder="1" applyAlignment="1">
      <alignment/>
    </xf>
    <xf numFmtId="0" fontId="0" fillId="3" borderId="5" xfId="0" applyFill="1" applyBorder="1" applyAlignment="1">
      <alignment/>
    </xf>
    <xf numFmtId="0" fontId="5" fillId="3" borderId="2" xfId="0" applyFont="1" applyFill="1" applyBorder="1" applyAlignment="1">
      <alignment horizontal="center"/>
    </xf>
    <xf numFmtId="0" fontId="0" fillId="3" borderId="53" xfId="0" applyFill="1" applyBorder="1" applyAlignment="1">
      <alignment/>
    </xf>
    <xf numFmtId="0" fontId="0" fillId="3" borderId="54" xfId="0" applyFill="1" applyBorder="1" applyAlignment="1">
      <alignment/>
    </xf>
    <xf numFmtId="0" fontId="5" fillId="0" borderId="0" xfId="0" applyFont="1" applyAlignment="1">
      <alignment horizontal="center"/>
    </xf>
    <xf numFmtId="2" fontId="1" fillId="8" borderId="3" xfId="0" applyNumberFormat="1" applyFont="1" applyFill="1" applyBorder="1" applyAlignment="1">
      <alignment/>
    </xf>
    <xf numFmtId="2" fontId="1" fillId="8" borderId="1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2" fontId="1" fillId="0" borderId="5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18" borderId="50" xfId="0" applyFont="1" applyFill="1" applyBorder="1" applyAlignment="1">
      <alignment/>
    </xf>
    <xf numFmtId="0" fontId="1" fillId="18" borderId="5" xfId="0" applyFont="1" applyFill="1" applyBorder="1" applyAlignment="1">
      <alignment/>
    </xf>
    <xf numFmtId="0" fontId="0" fillId="3" borderId="55" xfId="0" applyFill="1" applyBorder="1" applyAlignment="1">
      <alignment/>
    </xf>
    <xf numFmtId="0" fontId="0" fillId="3" borderId="2" xfId="0" applyFill="1" applyBorder="1" applyAlignment="1">
      <alignment/>
    </xf>
    <xf numFmtId="0" fontId="11" fillId="7" borderId="6" xfId="0" applyFont="1" applyFill="1" applyBorder="1" applyAlignment="1">
      <alignment/>
    </xf>
    <xf numFmtId="0" fontId="11" fillId="7" borderId="48" xfId="0" applyFont="1" applyFill="1" applyBorder="1" applyAlignment="1">
      <alignment/>
    </xf>
    <xf numFmtId="0" fontId="1" fillId="7" borderId="48" xfId="0" applyFont="1" applyFill="1" applyBorder="1" applyAlignment="1">
      <alignment/>
    </xf>
    <xf numFmtId="0" fontId="1" fillId="7" borderId="48" xfId="0" applyFont="1" applyFill="1" applyBorder="1" applyAlignment="1">
      <alignment horizontal="center"/>
    </xf>
    <xf numFmtId="166" fontId="1" fillId="10" borderId="56" xfId="0" applyNumberFormat="1" applyFont="1" applyFill="1" applyBorder="1" applyAlignment="1">
      <alignment/>
    </xf>
    <xf numFmtId="0" fontId="2" fillId="3" borderId="50" xfId="0" applyFont="1" applyFill="1" applyBorder="1" applyAlignment="1">
      <alignment/>
    </xf>
    <xf numFmtId="0" fontId="22" fillId="7" borderId="6" xfId="0" applyFont="1" applyFill="1" applyBorder="1" applyAlignment="1">
      <alignment/>
    </xf>
    <xf numFmtId="0" fontId="22" fillId="7" borderId="48" xfId="0" applyFont="1" applyFill="1" applyBorder="1" applyAlignment="1">
      <alignment/>
    </xf>
    <xf numFmtId="2" fontId="1" fillId="19" borderId="3" xfId="0" applyNumberFormat="1" applyFont="1" applyFill="1" applyBorder="1" applyAlignment="1">
      <alignment/>
    </xf>
    <xf numFmtId="2" fontId="1" fillId="19" borderId="1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1" fillId="18" borderId="50" xfId="0" applyFont="1" applyFill="1" applyBorder="1" applyAlignment="1">
      <alignment horizontal="center"/>
    </xf>
    <xf numFmtId="0" fontId="1" fillId="18" borderId="0" xfId="0" applyFont="1" applyFill="1" applyBorder="1" applyAlignment="1">
      <alignment horizontal="center"/>
    </xf>
    <xf numFmtId="0" fontId="2" fillId="18" borderId="0" xfId="0" applyFont="1" applyFill="1" applyBorder="1" applyAlignment="1">
      <alignment horizontal="center"/>
    </xf>
    <xf numFmtId="2" fontId="1" fillId="18" borderId="0" xfId="0" applyNumberFormat="1" applyFont="1" applyFill="1" applyBorder="1" applyAlignment="1">
      <alignment horizontal="center"/>
    </xf>
    <xf numFmtId="1" fontId="1" fillId="18" borderId="0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1" fillId="20" borderId="12" xfId="0" applyFont="1" applyFill="1" applyBorder="1" applyAlignment="1">
      <alignment/>
    </xf>
    <xf numFmtId="0" fontId="1" fillId="20" borderId="13" xfId="0" applyFont="1" applyFill="1" applyBorder="1" applyAlignment="1">
      <alignment horizontal="center"/>
    </xf>
    <xf numFmtId="0" fontId="1" fillId="20" borderId="0" xfId="0" applyFont="1" applyFill="1" applyBorder="1" applyAlignment="1">
      <alignment horizontal="center"/>
    </xf>
    <xf numFmtId="0" fontId="1" fillId="20" borderId="0" xfId="0" applyFont="1" applyFill="1" applyBorder="1" applyAlignment="1">
      <alignment/>
    </xf>
    <xf numFmtId="0" fontId="1" fillId="20" borderId="15" xfId="0" applyFont="1" applyFill="1" applyBorder="1" applyAlignment="1">
      <alignment horizontal="center"/>
    </xf>
    <xf numFmtId="0" fontId="1" fillId="20" borderId="50" xfId="0" applyFont="1" applyFill="1" applyBorder="1" applyAlignment="1">
      <alignment horizontal="center"/>
    </xf>
    <xf numFmtId="0" fontId="1" fillId="20" borderId="39" xfId="0" applyFont="1" applyFill="1" applyBorder="1" applyAlignment="1">
      <alignment horizontal="center"/>
    </xf>
    <xf numFmtId="0" fontId="0" fillId="0" borderId="0" xfId="0" applyAlignment="1" quotePrefix="1">
      <alignment/>
    </xf>
    <xf numFmtId="0" fontId="2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6"/>
  <sheetViews>
    <sheetView tabSelected="1" workbookViewId="0" topLeftCell="O24">
      <selection activeCell="V43" sqref="V43"/>
    </sheetView>
  </sheetViews>
  <sheetFormatPr defaultColWidth="9.140625" defaultRowHeight="12.75"/>
  <cols>
    <col min="1" max="1" width="10.57421875" style="0" customWidth="1"/>
    <col min="2" max="2" width="9.28125" style="0" customWidth="1"/>
    <col min="3" max="3" width="9.8515625" style="0" customWidth="1"/>
    <col min="4" max="4" width="9.7109375" style="0" customWidth="1"/>
    <col min="5" max="5" width="9.28125" style="0" customWidth="1"/>
    <col min="6" max="6" width="9.57421875" style="0" customWidth="1"/>
    <col min="7" max="7" width="6.57421875" style="0" customWidth="1"/>
    <col min="8" max="8" width="8.28125" style="0" customWidth="1"/>
    <col min="9" max="9" width="1.8515625" style="0" customWidth="1"/>
    <col min="10" max="10" width="7.8515625" style="0" customWidth="1"/>
    <col min="11" max="11" width="1.7109375" style="0" customWidth="1"/>
    <col min="12" max="12" width="7.7109375" style="0" customWidth="1"/>
    <col min="13" max="13" width="6.7109375" style="0" customWidth="1"/>
    <col min="14" max="14" width="1.7109375" style="0" customWidth="1"/>
    <col min="15" max="15" width="6.8515625" style="0" customWidth="1"/>
    <col min="16" max="16" width="1.7109375" style="0" customWidth="1"/>
    <col min="17" max="17" width="7.57421875" style="0" customWidth="1"/>
    <col min="18" max="19" width="7.421875" style="0" customWidth="1"/>
    <col min="20" max="20" width="7.7109375" style="0" customWidth="1"/>
    <col min="21" max="21" width="6.7109375" style="0" customWidth="1"/>
    <col min="22" max="22" width="7.140625" style="0" customWidth="1"/>
    <col min="23" max="23" width="7.28125" style="0" customWidth="1"/>
    <col min="24" max="24" width="7.00390625" style="0" customWidth="1"/>
    <col min="25" max="25" width="7.57421875" style="0" customWidth="1"/>
  </cols>
  <sheetData>
    <row r="1" spans="1:3" ht="12.75">
      <c r="A1" s="14" t="s">
        <v>496</v>
      </c>
      <c r="C1" s="14" t="s">
        <v>495</v>
      </c>
    </row>
    <row r="3" spans="1:12" ht="17.25">
      <c r="A3" s="292" t="s">
        <v>492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1" ht="16.5">
      <c r="A4" s="291" t="s">
        <v>427</v>
      </c>
      <c r="B4" s="42"/>
      <c r="C4" s="42"/>
      <c r="D4" s="42"/>
      <c r="E4" s="42"/>
      <c r="K4" s="2" t="s">
        <v>493</v>
      </c>
    </row>
    <row r="5" spans="1:11" ht="12.75">
      <c r="A5" s="3" t="s">
        <v>428</v>
      </c>
      <c r="B5" s="40"/>
      <c r="C5" s="40"/>
      <c r="D5" s="40"/>
      <c r="E5" s="40"/>
      <c r="K5" s="2" t="s">
        <v>144</v>
      </c>
    </row>
    <row r="6" spans="1:11" ht="17.25">
      <c r="A6" s="338" t="s">
        <v>3</v>
      </c>
      <c r="B6" s="339"/>
      <c r="C6" s="340"/>
      <c r="D6" s="340"/>
      <c r="E6" s="340"/>
      <c r="F6" s="340"/>
      <c r="G6" s="340"/>
      <c r="H6" s="39"/>
      <c r="I6" s="39"/>
      <c r="J6" s="39"/>
      <c r="K6" s="2" t="s">
        <v>145</v>
      </c>
    </row>
    <row r="7" spans="1:11" ht="12.75" thickBot="1">
      <c r="A7" s="1" t="s">
        <v>47</v>
      </c>
      <c r="B7" s="43"/>
      <c r="K7" s="170" t="s">
        <v>494</v>
      </c>
    </row>
    <row r="8" spans="2:11" ht="14.25" thickBot="1" thickTop="1">
      <c r="B8" s="108"/>
      <c r="C8" s="107" t="s">
        <v>426</v>
      </c>
      <c r="D8" s="103"/>
      <c r="K8" s="2" t="s">
        <v>225</v>
      </c>
    </row>
    <row r="9" spans="1:11" ht="13.5" thickTop="1">
      <c r="A9" s="58"/>
      <c r="B9" s="47"/>
      <c r="C9" s="109" t="s">
        <v>48</v>
      </c>
      <c r="D9" s="110"/>
      <c r="E9" s="53"/>
      <c r="F9" s="54"/>
      <c r="K9" s="2" t="s">
        <v>226</v>
      </c>
    </row>
    <row r="10" spans="1:22" ht="12.75">
      <c r="A10" s="59"/>
      <c r="B10" s="60"/>
      <c r="C10" s="47"/>
      <c r="D10" s="47"/>
      <c r="E10" s="47"/>
      <c r="F10" s="56"/>
      <c r="T10" s="43" t="s">
        <v>3</v>
      </c>
      <c r="U10" s="43"/>
      <c r="V10" s="39"/>
    </row>
    <row r="11" spans="1:20" ht="12.75">
      <c r="A11" s="55"/>
      <c r="B11" s="83" t="s">
        <v>79</v>
      </c>
      <c r="C11" s="83" t="s">
        <v>54</v>
      </c>
      <c r="D11" s="83" t="s">
        <v>81</v>
      </c>
      <c r="E11" s="83" t="s">
        <v>82</v>
      </c>
      <c r="F11" s="273" t="s">
        <v>83</v>
      </c>
      <c r="T11" s="3"/>
    </row>
    <row r="12" spans="1:20" ht="12.75">
      <c r="A12" s="55"/>
      <c r="B12" s="60" t="s">
        <v>80</v>
      </c>
      <c r="C12" s="60" t="s">
        <v>84</v>
      </c>
      <c r="D12" s="60" t="s">
        <v>85</v>
      </c>
      <c r="E12" s="60" t="s">
        <v>86</v>
      </c>
      <c r="F12" s="61" t="s">
        <v>87</v>
      </c>
      <c r="T12" s="3"/>
    </row>
    <row r="13" spans="1:6" ht="12.75">
      <c r="A13" s="59" t="s">
        <v>88</v>
      </c>
      <c r="B13" s="324">
        <v>169.6</v>
      </c>
      <c r="C13" s="324">
        <v>205.5</v>
      </c>
      <c r="D13" s="324">
        <v>213.6</v>
      </c>
      <c r="E13" s="324">
        <v>168.5</v>
      </c>
      <c r="F13" s="324">
        <v>228</v>
      </c>
    </row>
    <row r="14" spans="1:6" ht="12.75">
      <c r="A14" s="55"/>
      <c r="B14" s="49"/>
      <c r="C14" s="49"/>
      <c r="D14" s="49"/>
      <c r="E14" s="49"/>
      <c r="F14" s="49"/>
    </row>
    <row r="15" spans="1:6" ht="13.5" thickBot="1">
      <c r="A15" s="62" t="s">
        <v>41</v>
      </c>
      <c r="B15" s="323">
        <v>2.2</v>
      </c>
      <c r="C15" s="323">
        <v>-17.5</v>
      </c>
      <c r="D15" s="323">
        <v>-13.3</v>
      </c>
      <c r="E15" s="323">
        <v>-15.6</v>
      </c>
      <c r="F15" s="323">
        <v>1</v>
      </c>
    </row>
    <row r="16" spans="1:13" ht="13.5" thickTop="1">
      <c r="A16" s="60"/>
      <c r="B16" s="66"/>
      <c r="C16" s="66"/>
      <c r="D16" s="66"/>
      <c r="E16" s="66"/>
      <c r="F16" s="178"/>
      <c r="I16" s="237"/>
      <c r="J16" s="238"/>
      <c r="K16" s="238"/>
      <c r="L16" s="238"/>
      <c r="M16" s="239"/>
    </row>
    <row r="17" spans="1:13" ht="15">
      <c r="A17" s="60"/>
      <c r="B17" s="66"/>
      <c r="C17" s="66"/>
      <c r="D17" s="66"/>
      <c r="E17" s="66"/>
      <c r="F17" s="67"/>
      <c r="I17" s="246" t="s">
        <v>263</v>
      </c>
      <c r="J17" s="244"/>
      <c r="K17" s="244"/>
      <c r="L17" s="244"/>
      <c r="M17" s="245"/>
    </row>
    <row r="18" spans="1:23" ht="13.5" thickBot="1">
      <c r="A18" s="60"/>
      <c r="B18" s="66"/>
      <c r="C18" s="66"/>
      <c r="D18" s="66"/>
      <c r="E18" s="66"/>
      <c r="F18" s="179"/>
      <c r="I18" s="240"/>
      <c r="J18" s="241"/>
      <c r="K18" s="241"/>
      <c r="L18" s="241"/>
      <c r="M18" s="242"/>
      <c r="U18" s="120"/>
      <c r="V18" s="120"/>
      <c r="W18" s="120"/>
    </row>
    <row r="19" spans="1:20" ht="14.25" thickBot="1" thickTop="1">
      <c r="A19" s="78" t="s">
        <v>55</v>
      </c>
      <c r="B19" s="79"/>
      <c r="C19" s="79"/>
      <c r="D19" s="79"/>
      <c r="E19" s="79"/>
      <c r="F19" s="79"/>
      <c r="G19" s="197" t="s">
        <v>156</v>
      </c>
      <c r="H19" s="191"/>
      <c r="I19" s="191"/>
      <c r="J19" s="191"/>
      <c r="K19" s="191"/>
      <c r="L19" s="191"/>
      <c r="M19" s="191"/>
      <c r="N19" s="191"/>
      <c r="O19" s="191"/>
      <c r="P19" s="137"/>
      <c r="T19" s="206" t="s">
        <v>3</v>
      </c>
    </row>
    <row r="20" spans="1:16" ht="13.5" thickBot="1">
      <c r="A20" s="63"/>
      <c r="B20" s="111"/>
      <c r="C20" s="112" t="s">
        <v>42</v>
      </c>
      <c r="D20" s="113"/>
      <c r="E20" s="113"/>
      <c r="F20" s="44"/>
      <c r="G20" s="198" t="s">
        <v>157</v>
      </c>
      <c r="H20" s="171"/>
      <c r="I20" s="196"/>
      <c r="J20" s="190"/>
      <c r="K20" s="190"/>
      <c r="L20" s="190"/>
      <c r="M20" s="190"/>
      <c r="N20" s="190"/>
      <c r="O20" s="190"/>
      <c r="P20" s="192"/>
    </row>
    <row r="21" spans="1:16" ht="14.25" thickBot="1" thickTop="1">
      <c r="A21" s="45"/>
      <c r="B21" s="47"/>
      <c r="C21" s="47"/>
      <c r="D21" s="47"/>
      <c r="E21" s="47"/>
      <c r="F21" s="47"/>
      <c r="G21" s="140"/>
      <c r="H21" s="141" t="s">
        <v>140</v>
      </c>
      <c r="I21" s="142"/>
      <c r="J21" s="143"/>
      <c r="K21" s="143"/>
      <c r="L21" s="143"/>
      <c r="M21" s="143"/>
      <c r="N21" s="143"/>
      <c r="O21" s="144"/>
      <c r="P21" s="87"/>
    </row>
    <row r="22" spans="1:16" ht="13.5" thickBot="1" thickTop="1">
      <c r="A22" s="81" t="s">
        <v>78</v>
      </c>
      <c r="B22" s="47"/>
      <c r="C22" s="47"/>
      <c r="D22" s="47"/>
      <c r="E22" s="47"/>
      <c r="F22" s="60" t="s">
        <v>3</v>
      </c>
      <c r="G22" s="84"/>
      <c r="H22" s="100" t="s">
        <v>91</v>
      </c>
      <c r="I22" s="99"/>
      <c r="J22" s="99"/>
      <c r="K22" s="99"/>
      <c r="L22" s="99"/>
      <c r="M22" s="99"/>
      <c r="N22" s="99"/>
      <c r="O22" s="99"/>
      <c r="P22" s="87"/>
    </row>
    <row r="23" spans="1:26" ht="14.25" thickBot="1" thickTop="1">
      <c r="A23" s="45"/>
      <c r="B23" s="46" t="s">
        <v>57</v>
      </c>
      <c r="C23" s="46" t="s">
        <v>58</v>
      </c>
      <c r="D23" s="46" t="s">
        <v>59</v>
      </c>
      <c r="E23" s="46" t="s">
        <v>60</v>
      </c>
      <c r="F23" s="47"/>
      <c r="G23" s="84"/>
      <c r="H23" s="85" t="s">
        <v>159</v>
      </c>
      <c r="I23" s="86"/>
      <c r="J23" s="86"/>
      <c r="K23" s="86"/>
      <c r="L23" s="86"/>
      <c r="M23" s="86"/>
      <c r="N23" s="86"/>
      <c r="O23" s="86"/>
      <c r="P23" s="87"/>
      <c r="R23" s="264" t="s">
        <v>413</v>
      </c>
      <c r="S23" s="265"/>
      <c r="T23" s="265"/>
      <c r="U23" s="266"/>
      <c r="V23" s="265"/>
      <c r="W23" s="265"/>
      <c r="X23" s="265"/>
      <c r="Y23" s="265"/>
      <c r="Z23" s="267"/>
    </row>
    <row r="24" spans="1:23" ht="13.5" thickTop="1">
      <c r="A24" s="45"/>
      <c r="B24" s="47"/>
      <c r="C24" s="47"/>
      <c r="D24" s="47"/>
      <c r="E24" s="47"/>
      <c r="F24" s="47"/>
      <c r="G24" s="88"/>
      <c r="H24" s="85" t="s">
        <v>89</v>
      </c>
      <c r="I24" s="86"/>
      <c r="J24" s="86"/>
      <c r="K24" s="86"/>
      <c r="L24" s="86"/>
      <c r="M24" s="86"/>
      <c r="N24" s="86"/>
      <c r="O24" s="86"/>
      <c r="P24" s="87"/>
      <c r="U24" s="258" t="s">
        <v>3</v>
      </c>
      <c r="V24" s="120"/>
      <c r="W24" s="120"/>
    </row>
    <row r="25" spans="1:20" ht="12.75">
      <c r="A25" s="59" t="s">
        <v>88</v>
      </c>
      <c r="B25" s="325">
        <v>151</v>
      </c>
      <c r="C25" s="325">
        <v>172.5</v>
      </c>
      <c r="D25" s="325">
        <v>169.2</v>
      </c>
      <c r="E25" s="325">
        <v>169.8</v>
      </c>
      <c r="F25" s="47"/>
      <c r="G25" s="89"/>
      <c r="H25" s="85" t="s">
        <v>90</v>
      </c>
      <c r="I25" s="86"/>
      <c r="J25" s="86"/>
      <c r="K25" s="86"/>
      <c r="L25" s="86"/>
      <c r="M25" s="86"/>
      <c r="N25" s="86"/>
      <c r="O25" s="86"/>
      <c r="P25" s="87"/>
      <c r="Q25" s="268" t="s">
        <v>414</v>
      </c>
      <c r="R25" s="269"/>
      <c r="S25" s="269"/>
      <c r="T25" s="269"/>
    </row>
    <row r="26" spans="1:16" ht="13.5" thickBot="1">
      <c r="A26" s="45"/>
      <c r="B26" s="49"/>
      <c r="C26" s="49"/>
      <c r="D26" s="49"/>
      <c r="E26" s="49"/>
      <c r="F26" s="47"/>
      <c r="G26" s="89"/>
      <c r="H26" s="85"/>
      <c r="I26" s="86"/>
      <c r="J26" s="86"/>
      <c r="K26" s="86"/>
      <c r="L26" s="86"/>
      <c r="M26" s="86"/>
      <c r="N26" s="86"/>
      <c r="O26" s="86"/>
      <c r="P26" s="87"/>
    </row>
    <row r="27" spans="1:26" ht="13.5" thickTop="1">
      <c r="A27" s="48" t="s">
        <v>41</v>
      </c>
      <c r="B27" s="325">
        <v>33</v>
      </c>
      <c r="C27" s="325">
        <v>1.8</v>
      </c>
      <c r="D27" s="325">
        <v>2.4</v>
      </c>
      <c r="E27" s="325">
        <v>2</v>
      </c>
      <c r="F27" s="47"/>
      <c r="G27" s="89"/>
      <c r="H27" s="189" t="s">
        <v>148</v>
      </c>
      <c r="I27" s="190"/>
      <c r="J27" s="190"/>
      <c r="K27" s="190"/>
      <c r="L27" s="190"/>
      <c r="M27" s="190"/>
      <c r="N27" s="190"/>
      <c r="O27" s="190"/>
      <c r="P27" s="87"/>
      <c r="Q27" s="3" t="s">
        <v>137</v>
      </c>
      <c r="W27" s="165" t="s">
        <v>142</v>
      </c>
      <c r="X27" s="166"/>
      <c r="Y27" s="158" t="s">
        <v>332</v>
      </c>
      <c r="Z27" s="159"/>
    </row>
    <row r="28" spans="1:26" ht="13.5" thickBot="1">
      <c r="A28" s="50" t="s">
        <v>56</v>
      </c>
      <c r="B28" s="47"/>
      <c r="C28" s="47"/>
      <c r="D28" s="47"/>
      <c r="E28" s="47"/>
      <c r="F28" s="47"/>
      <c r="G28" s="89"/>
      <c r="H28" s="85"/>
      <c r="I28" s="86"/>
      <c r="J28" s="86"/>
      <c r="K28" s="86"/>
      <c r="L28" s="86"/>
      <c r="M28" s="86"/>
      <c r="N28" s="86"/>
      <c r="O28" s="86"/>
      <c r="P28" s="87"/>
      <c r="Q28" s="3" t="s">
        <v>323</v>
      </c>
      <c r="W28" s="169" t="s">
        <v>338</v>
      </c>
      <c r="X28" s="167"/>
      <c r="Y28" s="161" t="s">
        <v>138</v>
      </c>
      <c r="Z28" s="162" t="s">
        <v>138</v>
      </c>
    </row>
    <row r="29" spans="1:26" ht="16.5" thickBot="1" thickTop="1">
      <c r="A29" s="48" t="s">
        <v>43</v>
      </c>
      <c r="B29" s="47"/>
      <c r="C29" s="47"/>
      <c r="D29" s="47"/>
      <c r="E29" s="47"/>
      <c r="F29" s="47"/>
      <c r="G29" s="90" t="s">
        <v>49</v>
      </c>
      <c r="H29" s="131">
        <f>R30</f>
        <v>73.15758669058859</v>
      </c>
      <c r="I29" s="154" t="str">
        <f>IF(T30&gt;0,"+","-")</f>
        <v>-</v>
      </c>
      <c r="J29" s="132">
        <f>ABS(T30)</f>
        <v>45.48332101321301</v>
      </c>
      <c r="K29" s="133" t="s">
        <v>4</v>
      </c>
      <c r="L29" s="91" t="s">
        <v>50</v>
      </c>
      <c r="M29" s="134">
        <f>R31</f>
        <v>2.489542714447363</v>
      </c>
      <c r="N29" s="154" t="str">
        <f>IF(T31&gt;0,"+","-")</f>
        <v>+</v>
      </c>
      <c r="O29" s="135">
        <f>ABS(T31)</f>
        <v>24.9061804162553</v>
      </c>
      <c r="P29" s="133" t="s">
        <v>4</v>
      </c>
      <c r="Q29" t="s">
        <v>438</v>
      </c>
      <c r="R29" t="s">
        <v>342</v>
      </c>
      <c r="T29" t="s">
        <v>341</v>
      </c>
      <c r="U29" t="s">
        <v>340</v>
      </c>
      <c r="V29" t="s">
        <v>339</v>
      </c>
      <c r="W29" s="160" t="s">
        <v>143</v>
      </c>
      <c r="X29" s="168" t="s">
        <v>9</v>
      </c>
      <c r="Y29" s="163" t="s">
        <v>333</v>
      </c>
      <c r="Z29" s="164" t="s">
        <v>334</v>
      </c>
    </row>
    <row r="30" spans="1:26" ht="14.25" thickBot="1" thickTop="1">
      <c r="A30" s="45"/>
      <c r="B30" s="46" t="s">
        <v>61</v>
      </c>
      <c r="C30" s="46" t="s">
        <v>66</v>
      </c>
      <c r="D30" s="46" t="s">
        <v>67</v>
      </c>
      <c r="E30" s="46" t="s">
        <v>68</v>
      </c>
      <c r="F30" s="47"/>
      <c r="G30" s="93"/>
      <c r="H30" s="94"/>
      <c r="I30" s="95"/>
      <c r="J30" s="95"/>
      <c r="K30" s="95"/>
      <c r="L30" s="96"/>
      <c r="M30" s="95"/>
      <c r="N30" s="97"/>
      <c r="O30" s="86"/>
      <c r="P30" s="87"/>
      <c r="Q30" s="146" t="s">
        <v>49</v>
      </c>
      <c r="R30" s="71">
        <f>R38*COS(RADIANS(S38))</f>
        <v>73.15758669058859</v>
      </c>
      <c r="S30" s="72"/>
      <c r="T30" s="73">
        <f>R38*SIN(RADIANS(S38))</f>
        <v>-45.48332101321301</v>
      </c>
      <c r="U30" s="30">
        <f>B13-B25</f>
        <v>18.599999999999994</v>
      </c>
      <c r="V30" s="30">
        <f>B15-B27</f>
        <v>-30.8</v>
      </c>
      <c r="W30" s="30">
        <f>SQRT(SUMSQ(U30,V30))</f>
        <v>35.98055030151707</v>
      </c>
      <c r="X30" s="65">
        <f>DEGREES(ATAN2(U30,V30))</f>
        <v>-58.872385631960114</v>
      </c>
      <c r="Y30" s="30">
        <f>SQRT(SUMSQ(C13,C15))</f>
        <v>206.24378778523246</v>
      </c>
      <c r="Z30" s="65">
        <f>DEGREES(ATAN2(C13,C15))</f>
        <v>-4.867459176387376</v>
      </c>
    </row>
    <row r="31" spans="1:26" ht="16.5" thickBot="1" thickTop="1">
      <c r="A31" s="45"/>
      <c r="B31" s="47"/>
      <c r="C31" s="47"/>
      <c r="D31" s="47"/>
      <c r="E31" s="47"/>
      <c r="F31" s="47"/>
      <c r="G31" s="90" t="s">
        <v>51</v>
      </c>
      <c r="H31" s="131">
        <f>R32</f>
        <v>8.365337740452203</v>
      </c>
      <c r="I31" s="155" t="str">
        <f>IF(T32&gt;0,"+","-")</f>
        <v>-</v>
      </c>
      <c r="J31" s="135">
        <f>ABS(T32)</f>
        <v>2.3872317675150443</v>
      </c>
      <c r="K31" s="133" t="s">
        <v>4</v>
      </c>
      <c r="L31" s="91" t="s">
        <v>52</v>
      </c>
      <c r="M31" s="134">
        <f>R33</f>
        <v>3.0568577584126633</v>
      </c>
      <c r="N31" s="155" t="str">
        <f>IF(T33&gt;0,"+","-")</f>
        <v>+</v>
      </c>
      <c r="O31" s="135">
        <f>ABS(T33)</f>
        <v>7.425926161440844</v>
      </c>
      <c r="P31" s="133" t="s">
        <v>4</v>
      </c>
      <c r="Q31" s="147" t="s">
        <v>50</v>
      </c>
      <c r="R31" s="68">
        <f>R39*COS(RADIANS(S39))</f>
        <v>2.489542714447363</v>
      </c>
      <c r="S31" s="70"/>
      <c r="T31" s="74">
        <f>R39*SIN(RADIANS(S39))</f>
        <v>24.9061804162553</v>
      </c>
      <c r="U31" s="30">
        <f>B13-C25</f>
        <v>-2.9000000000000057</v>
      </c>
      <c r="V31" s="30">
        <f>B15-C27</f>
        <v>0.40000000000000013</v>
      </c>
      <c r="W31" s="30">
        <f>SQRT(SUMSQ(U31,V31))</f>
        <v>2.927456233660895</v>
      </c>
      <c r="X31" s="30">
        <f>DEGREES(ATAN2(U31,V31))</f>
        <v>172.1466866980218</v>
      </c>
      <c r="Y31" s="30">
        <f>SQRT(SUMSQ(D13,D15))</f>
        <v>214.01366778783077</v>
      </c>
      <c r="Z31" s="30">
        <f>DEGREES(ATAN2(D13,D15))</f>
        <v>-3.56297443364676</v>
      </c>
    </row>
    <row r="32" spans="1:26" ht="13.5" thickTop="1">
      <c r="A32" s="59" t="s">
        <v>88</v>
      </c>
      <c r="B32" s="325">
        <v>189.6</v>
      </c>
      <c r="C32" s="325">
        <v>204.2</v>
      </c>
      <c r="D32" s="325">
        <v>207.7</v>
      </c>
      <c r="E32" s="325">
        <v>205.2</v>
      </c>
      <c r="F32" s="47"/>
      <c r="G32" s="84"/>
      <c r="H32" s="86"/>
      <c r="I32" s="86"/>
      <c r="J32" s="86"/>
      <c r="K32" s="86"/>
      <c r="L32" s="86"/>
      <c r="M32" s="157"/>
      <c r="N32" s="86"/>
      <c r="O32" s="86"/>
      <c r="P32" s="87"/>
      <c r="Q32" s="147" t="s">
        <v>51</v>
      </c>
      <c r="R32" s="68">
        <f>R40*COS(RADIANS(S40))</f>
        <v>8.365337740452203</v>
      </c>
      <c r="S32" s="69"/>
      <c r="T32" s="74">
        <f>R40*SIN(RADIANS(S40))</f>
        <v>-2.3872317675150443</v>
      </c>
      <c r="U32" s="30">
        <f>B13-D25</f>
        <v>0.4000000000000057</v>
      </c>
      <c r="V32" s="30">
        <f>V36</f>
        <v>-0.19999999999999973</v>
      </c>
      <c r="W32" s="30">
        <f>SQRT(SUMSQ(U32,V32))</f>
        <v>0.4472135954999629</v>
      </c>
      <c r="X32" s="65">
        <f>DEGREES(ATAN2(U32,V32))</f>
        <v>-26.56505117707763</v>
      </c>
      <c r="Y32" s="30">
        <f>SQRT(SUMSQ(E13,E15))</f>
        <v>169.22059567322177</v>
      </c>
      <c r="Z32" s="65">
        <f>DEGREES(ATAN2(E13,E15))</f>
        <v>-5.289456864306534</v>
      </c>
    </row>
    <row r="33" spans="1:26" ht="13.5" thickBot="1">
      <c r="A33" s="45"/>
      <c r="B33" s="49"/>
      <c r="C33" s="49"/>
      <c r="D33" s="49"/>
      <c r="E33" s="49"/>
      <c r="F33" s="47"/>
      <c r="G33" s="84"/>
      <c r="H33" s="186" t="s">
        <v>149</v>
      </c>
      <c r="I33" s="187"/>
      <c r="J33" s="187"/>
      <c r="K33" s="187"/>
      <c r="L33" s="187"/>
      <c r="M33" s="188"/>
      <c r="N33" s="187"/>
      <c r="O33" s="187"/>
      <c r="P33" s="156"/>
      <c r="Q33" s="148" t="s">
        <v>52</v>
      </c>
      <c r="R33" s="75">
        <f>R41*COS(RADIANS(S41))</f>
        <v>3.0568577584126633</v>
      </c>
      <c r="S33" s="76"/>
      <c r="T33" s="77">
        <f>R41*SIN(RADIANS(S41))</f>
        <v>7.425926161440844</v>
      </c>
      <c r="U33" s="30">
        <f>B13-E25</f>
        <v>-0.20000000000001705</v>
      </c>
      <c r="V33">
        <f>B15-E27</f>
        <v>0.20000000000000018</v>
      </c>
      <c r="W33" s="30">
        <f>SQRT(SUMSQ(U33,V33))</f>
        <v>0.2828427124746312</v>
      </c>
      <c r="X33" s="30">
        <f>DEGREES(ATAN2(U33,V33))</f>
        <v>135.00000000000242</v>
      </c>
      <c r="Y33" s="30">
        <f>SQRT(SUMSQ(F13,F15))</f>
        <v>228.0021929719098</v>
      </c>
      <c r="Z33" s="30">
        <f>DEGREES(ATAN2(F13,F15))</f>
        <v>0.25129566720895</v>
      </c>
    </row>
    <row r="34" spans="1:20" ht="14.25" thickBot="1" thickTop="1">
      <c r="A34" s="48" t="s">
        <v>41</v>
      </c>
      <c r="B34" s="325">
        <v>21</v>
      </c>
      <c r="C34" s="325">
        <v>6.3</v>
      </c>
      <c r="D34" s="325">
        <v>-17.8</v>
      </c>
      <c r="E34" s="325">
        <v>-17.2</v>
      </c>
      <c r="F34" s="47"/>
      <c r="G34" s="84"/>
      <c r="H34" s="86"/>
      <c r="I34" s="86"/>
      <c r="J34" s="86"/>
      <c r="K34" s="86"/>
      <c r="L34" s="86"/>
      <c r="M34" s="157"/>
      <c r="N34" s="86"/>
      <c r="O34" s="86"/>
      <c r="P34" s="156"/>
      <c r="Q34" s="127" t="s">
        <v>150</v>
      </c>
      <c r="R34" s="136"/>
      <c r="S34" s="191"/>
      <c r="T34" s="106"/>
    </row>
    <row r="35" spans="1:20" ht="14.25" thickBot="1" thickTop="1">
      <c r="A35" s="50" t="s">
        <v>56</v>
      </c>
      <c r="B35" s="47"/>
      <c r="C35" s="47"/>
      <c r="D35" s="47"/>
      <c r="E35" s="47"/>
      <c r="F35" s="47"/>
      <c r="G35" s="180" t="s">
        <v>49</v>
      </c>
      <c r="H35" s="182">
        <f>R38*COS(RADIANS(T38))</f>
        <v>-73.15758669058859</v>
      </c>
      <c r="I35" s="183"/>
      <c r="J35" s="183">
        <f>R38*SIN(RADIANS(T38))</f>
        <v>45.483321013213</v>
      </c>
      <c r="K35" s="184" t="s">
        <v>4</v>
      </c>
      <c r="L35" s="181" t="s">
        <v>50</v>
      </c>
      <c r="M35" s="182">
        <f>R39*COS(RADIANS(T39))</f>
        <v>-2.4895427144473654</v>
      </c>
      <c r="N35" s="183"/>
      <c r="O35" s="183">
        <f>R39*SIN(RADIANS(T39))</f>
        <v>-24.9061804162553</v>
      </c>
      <c r="P35" s="184" t="s">
        <v>4</v>
      </c>
      <c r="Q35" s="145" t="s">
        <v>151</v>
      </c>
      <c r="R35" s="128"/>
      <c r="S35" s="105"/>
      <c r="T35" s="192"/>
    </row>
    <row r="36" spans="1:22" ht="14.25" thickBot="1" thickTop="1">
      <c r="A36" s="48" t="s">
        <v>44</v>
      </c>
      <c r="B36" s="47"/>
      <c r="C36" s="47"/>
      <c r="D36" s="47"/>
      <c r="E36" s="47"/>
      <c r="F36" s="47"/>
      <c r="G36" s="140"/>
      <c r="H36" s="98"/>
      <c r="I36" s="98"/>
      <c r="J36" s="98"/>
      <c r="K36" s="98"/>
      <c r="L36" s="98"/>
      <c r="M36" s="98"/>
      <c r="N36" s="98"/>
      <c r="O36" s="98"/>
      <c r="P36" s="87"/>
      <c r="Q36" t="s">
        <v>3</v>
      </c>
      <c r="R36" s="138" t="s">
        <v>14</v>
      </c>
      <c r="S36" s="195" t="s">
        <v>146</v>
      </c>
      <c r="T36" s="172" t="s">
        <v>147</v>
      </c>
      <c r="V36">
        <f>IF(((B15-D27)=0),-0.1,(B15-D27))</f>
        <v>-0.19999999999999973</v>
      </c>
    </row>
    <row r="37" spans="1:21" ht="14.25" thickBot="1" thickTop="1">
      <c r="A37" s="45"/>
      <c r="B37" s="46" t="s">
        <v>65</v>
      </c>
      <c r="C37" s="46" t="s">
        <v>64</v>
      </c>
      <c r="D37" s="46" t="s">
        <v>63</v>
      </c>
      <c r="E37" s="46" t="s">
        <v>62</v>
      </c>
      <c r="F37" s="47"/>
      <c r="G37" s="180" t="s">
        <v>51</v>
      </c>
      <c r="H37" s="182">
        <f>R40*COS(RADIANS(T40))</f>
        <v>-8.365337740452203</v>
      </c>
      <c r="I37" s="183"/>
      <c r="J37" s="183">
        <f>R40*SIN(RADIANS(T40))</f>
        <v>2.387231767515044</v>
      </c>
      <c r="K37" s="184" t="s">
        <v>4</v>
      </c>
      <c r="L37" s="181" t="s">
        <v>52</v>
      </c>
      <c r="M37" s="182">
        <f>R41*COS(RADIANS(T41))</f>
        <v>-3.0568577584126624</v>
      </c>
      <c r="N37" s="183"/>
      <c r="O37" s="183">
        <f>R41*SIN(RADIANS(T41))</f>
        <v>-7.425926161440845</v>
      </c>
      <c r="P37" s="184" t="s">
        <v>4</v>
      </c>
      <c r="R37" s="139" t="s">
        <v>344</v>
      </c>
      <c r="S37" s="193" t="s">
        <v>343</v>
      </c>
      <c r="T37" s="194"/>
      <c r="U37" s="6" t="s">
        <v>464</v>
      </c>
    </row>
    <row r="38" spans="1:21" ht="13.5" thickTop="1">
      <c r="A38" s="45"/>
      <c r="B38" s="47"/>
      <c r="C38" s="47"/>
      <c r="D38" s="47"/>
      <c r="E38" s="47"/>
      <c r="F38" s="47"/>
      <c r="G38" s="180"/>
      <c r="H38" s="92"/>
      <c r="I38" s="92"/>
      <c r="J38" s="92"/>
      <c r="K38" s="98"/>
      <c r="L38" s="181"/>
      <c r="M38" s="92"/>
      <c r="N38" s="92"/>
      <c r="O38" s="92"/>
      <c r="P38" s="156"/>
      <c r="Q38" s="129" t="s">
        <v>49</v>
      </c>
      <c r="R38" s="173">
        <f>SQRT(PRODUCT(Y30,W30))</f>
        <v>86.14386211902719</v>
      </c>
      <c r="S38" s="175">
        <f>PRODUCT(SUM(X30,Z30),0.5)</f>
        <v>-31.869922404173746</v>
      </c>
      <c r="T38" s="316">
        <f>SUM(S38,-180)</f>
        <v>-211.86992240417374</v>
      </c>
      <c r="U38" s="40" t="s">
        <v>465</v>
      </c>
    </row>
    <row r="39" spans="1:22" ht="12.75">
      <c r="A39" s="59" t="s">
        <v>88</v>
      </c>
      <c r="B39" s="325">
        <v>220.5</v>
      </c>
      <c r="C39" s="325">
        <v>214.2</v>
      </c>
      <c r="D39" s="325">
        <v>202.5</v>
      </c>
      <c r="E39" s="325">
        <v>213.3</v>
      </c>
      <c r="F39" s="47"/>
      <c r="G39" s="180"/>
      <c r="H39" s="92"/>
      <c r="I39" s="92"/>
      <c r="J39" s="92"/>
      <c r="K39" s="98"/>
      <c r="L39" s="181"/>
      <c r="M39" s="92"/>
      <c r="N39" s="92"/>
      <c r="O39" s="92"/>
      <c r="P39" s="156"/>
      <c r="Q39" s="125" t="s">
        <v>50</v>
      </c>
      <c r="R39" s="123">
        <f>SQRT(PRODUCT(Y31,W31))</f>
        <v>25.030294561872758</v>
      </c>
      <c r="S39" s="176">
        <f>PRODUCT(SUM(X31,Z31),0.5)</f>
        <v>84.29185613218752</v>
      </c>
      <c r="T39" s="174">
        <f>SUM(S39,-180)</f>
        <v>-95.70814386781248</v>
      </c>
      <c r="V39" s="6" t="s">
        <v>470</v>
      </c>
    </row>
    <row r="40" spans="1:22" ht="12.75">
      <c r="A40" s="45"/>
      <c r="B40" s="49"/>
      <c r="C40" s="49"/>
      <c r="D40" s="49"/>
      <c r="E40" s="49"/>
      <c r="F40" s="47"/>
      <c r="G40" s="84"/>
      <c r="H40" s="86"/>
      <c r="I40" s="86"/>
      <c r="J40" s="86"/>
      <c r="K40" s="86"/>
      <c r="L40" s="86"/>
      <c r="M40" s="86"/>
      <c r="N40" s="86"/>
      <c r="O40" s="86"/>
      <c r="P40" s="87"/>
      <c r="Q40" s="130" t="s">
        <v>51</v>
      </c>
      <c r="R40" s="123">
        <f>SQRT(PRODUCT(Y32,W32))</f>
        <v>8.699296007359846</v>
      </c>
      <c r="S40" s="176">
        <f>PRODUCT(SUM(X32,Z32),0.5)</f>
        <v>-15.927254020692082</v>
      </c>
      <c r="T40" s="174">
        <f>SUM(S40,-180)</f>
        <v>-195.9272540206921</v>
      </c>
      <c r="V40" s="6" t="s">
        <v>466</v>
      </c>
    </row>
    <row r="41" spans="1:21" ht="13.5" thickBot="1">
      <c r="A41" s="48" t="s">
        <v>41</v>
      </c>
      <c r="B41" s="325">
        <v>-18</v>
      </c>
      <c r="C41" s="325">
        <v>6.2</v>
      </c>
      <c r="D41" s="325">
        <v>7.4</v>
      </c>
      <c r="E41" s="325">
        <v>-15.5</v>
      </c>
      <c r="F41" s="47"/>
      <c r="G41" s="84" t="s">
        <v>221</v>
      </c>
      <c r="H41" s="86"/>
      <c r="I41" s="86"/>
      <c r="J41" s="86"/>
      <c r="K41" s="86"/>
      <c r="L41" s="86"/>
      <c r="M41" s="86"/>
      <c r="N41" s="86"/>
      <c r="O41" s="86"/>
      <c r="P41" s="87"/>
      <c r="Q41" s="126" t="s">
        <v>52</v>
      </c>
      <c r="R41" s="124">
        <f>SQRT(PRODUCT(Y33,W33))</f>
        <v>8.030489319483543</v>
      </c>
      <c r="S41" s="177">
        <f>PRODUCT(SUM(X33,Z33),0.5)</f>
        <v>67.62564783360568</v>
      </c>
      <c r="T41" s="174">
        <f>SUM(S41,-180)</f>
        <v>-112.37435216639432</v>
      </c>
      <c r="U41" s="2" t="s">
        <v>469</v>
      </c>
    </row>
    <row r="42" spans="1:22" ht="13.5" thickTop="1">
      <c r="A42" s="50" t="s">
        <v>56</v>
      </c>
      <c r="B42" s="47"/>
      <c r="C42" s="47"/>
      <c r="D42" s="47"/>
      <c r="E42" s="47"/>
      <c r="F42" s="47"/>
      <c r="G42" s="197" t="s">
        <v>156</v>
      </c>
      <c r="H42" s="191"/>
      <c r="I42" s="191"/>
      <c r="J42" s="191"/>
      <c r="K42" s="191"/>
      <c r="L42" s="191"/>
      <c r="M42" s="191"/>
      <c r="N42" s="191"/>
      <c r="O42" s="191"/>
      <c r="P42" s="137"/>
      <c r="V42" s="2" t="s">
        <v>498</v>
      </c>
    </row>
    <row r="43" spans="1:22" ht="13.5" thickBot="1">
      <c r="A43" s="48" t="s">
        <v>45</v>
      </c>
      <c r="B43" s="47"/>
      <c r="C43" s="47"/>
      <c r="D43" s="47"/>
      <c r="E43" s="47"/>
      <c r="F43" s="47"/>
      <c r="G43" s="198" t="s">
        <v>158</v>
      </c>
      <c r="H43" s="171"/>
      <c r="I43" s="196"/>
      <c r="J43" s="190"/>
      <c r="K43" s="190"/>
      <c r="L43" s="190"/>
      <c r="M43" s="190"/>
      <c r="N43" s="190"/>
      <c r="O43" s="190"/>
      <c r="P43" s="192"/>
      <c r="V43" s="2" t="s">
        <v>471</v>
      </c>
    </row>
    <row r="44" spans="1:22" ht="14.25" thickBot="1" thickTop="1">
      <c r="A44" s="45"/>
      <c r="B44" s="46" t="s">
        <v>69</v>
      </c>
      <c r="C44" s="46" t="s">
        <v>70</v>
      </c>
      <c r="D44" s="46" t="s">
        <v>71</v>
      </c>
      <c r="E44" s="46" t="s">
        <v>72</v>
      </c>
      <c r="F44" s="47"/>
      <c r="G44" s="140"/>
      <c r="H44" s="141" t="s">
        <v>140</v>
      </c>
      <c r="I44" s="142"/>
      <c r="J44" s="143"/>
      <c r="K44" s="143"/>
      <c r="L44" s="143"/>
      <c r="M44" s="143"/>
      <c r="N44" s="143"/>
      <c r="O44" s="144"/>
      <c r="P44" s="87"/>
      <c r="Q44" s="270" t="s">
        <v>415</v>
      </c>
      <c r="R44" s="271"/>
      <c r="S44" s="271"/>
      <c r="T44" s="271"/>
      <c r="V44" s="2" t="s">
        <v>467</v>
      </c>
    </row>
    <row r="45" spans="1:22" ht="12.75" thickTop="1">
      <c r="A45" s="45"/>
      <c r="B45" s="47"/>
      <c r="C45" s="47"/>
      <c r="D45" s="47"/>
      <c r="E45" s="47"/>
      <c r="F45" s="47"/>
      <c r="G45" s="199" t="s">
        <v>189</v>
      </c>
      <c r="H45" s="99"/>
      <c r="I45" s="99"/>
      <c r="J45" s="99"/>
      <c r="K45" s="99"/>
      <c r="L45" s="99"/>
      <c r="M45" s="99"/>
      <c r="N45" s="99"/>
      <c r="O45" s="99"/>
      <c r="P45" s="87"/>
      <c r="V45" s="2" t="s">
        <v>468</v>
      </c>
    </row>
    <row r="46" spans="1:22" ht="12.75">
      <c r="A46" s="59" t="s">
        <v>88</v>
      </c>
      <c r="B46" s="325">
        <v>172.6</v>
      </c>
      <c r="C46" s="325">
        <v>176.4</v>
      </c>
      <c r="D46" s="325">
        <v>160.4</v>
      </c>
      <c r="E46" s="325">
        <v>185</v>
      </c>
      <c r="F46" s="47"/>
      <c r="G46" s="199" t="s">
        <v>190</v>
      </c>
      <c r="H46" s="99"/>
      <c r="I46" s="99"/>
      <c r="J46" s="99"/>
      <c r="K46" s="99"/>
      <c r="L46" s="99"/>
      <c r="M46" s="99"/>
      <c r="N46" s="99"/>
      <c r="O46" s="99"/>
      <c r="P46" s="87"/>
      <c r="Q46" s="235" t="s">
        <v>193</v>
      </c>
      <c r="V46" s="2" t="s">
        <v>472</v>
      </c>
    </row>
    <row r="47" spans="1:22" ht="12.75">
      <c r="A47" s="45"/>
      <c r="B47" s="49"/>
      <c r="C47" s="49"/>
      <c r="D47" s="49"/>
      <c r="E47" s="49"/>
      <c r="F47" s="47"/>
      <c r="G47" s="199" t="s">
        <v>223</v>
      </c>
      <c r="H47" s="99"/>
      <c r="I47" s="99"/>
      <c r="J47" s="99"/>
      <c r="K47" s="99"/>
      <c r="L47" s="99"/>
      <c r="M47" s="99"/>
      <c r="N47" s="99"/>
      <c r="O47" s="99"/>
      <c r="P47" s="87"/>
      <c r="V47" s="2" t="s">
        <v>473</v>
      </c>
    </row>
    <row r="48" spans="1:24" ht="12.75">
      <c r="A48" s="48" t="s">
        <v>41</v>
      </c>
      <c r="B48" s="325">
        <v>-14.5</v>
      </c>
      <c r="C48" s="325">
        <v>-16.7</v>
      </c>
      <c r="D48" s="325">
        <v>1.7</v>
      </c>
      <c r="E48" s="325">
        <v>11</v>
      </c>
      <c r="F48" s="47"/>
      <c r="G48" s="199" t="s">
        <v>224</v>
      </c>
      <c r="H48" s="99"/>
      <c r="I48" s="99"/>
      <c r="J48" s="99"/>
      <c r="K48" s="99"/>
      <c r="L48" s="99"/>
      <c r="M48" s="99"/>
      <c r="N48" s="99"/>
      <c r="O48" s="99"/>
      <c r="P48" s="87"/>
      <c r="Q48" t="s">
        <v>300</v>
      </c>
      <c r="U48" t="s">
        <v>198</v>
      </c>
      <c r="W48" t="s">
        <v>53</v>
      </c>
      <c r="X48" t="s">
        <v>204</v>
      </c>
    </row>
    <row r="49" spans="1:28" ht="12.75">
      <c r="A49" s="50" t="s">
        <v>56</v>
      </c>
      <c r="B49" s="47"/>
      <c r="C49" s="47"/>
      <c r="D49" s="47"/>
      <c r="E49" s="47"/>
      <c r="F49" s="47"/>
      <c r="G49" s="199" t="s">
        <v>227</v>
      </c>
      <c r="H49" s="99"/>
      <c r="I49" s="99"/>
      <c r="J49" s="99"/>
      <c r="K49" s="99"/>
      <c r="L49" s="99"/>
      <c r="M49" s="99"/>
      <c r="N49" s="99"/>
      <c r="O49" s="99"/>
      <c r="P49" s="87"/>
      <c r="Q49" s="203" t="s">
        <v>199</v>
      </c>
      <c r="R49" s="203"/>
      <c r="S49" s="203" t="s">
        <v>201</v>
      </c>
      <c r="T49" s="203"/>
      <c r="U49" s="203" t="s">
        <v>202</v>
      </c>
      <c r="V49" s="203" t="s">
        <v>203</v>
      </c>
      <c r="W49" s="41" t="s">
        <v>200</v>
      </c>
      <c r="X49" s="328" t="s">
        <v>205</v>
      </c>
      <c r="Y49" s="328" t="s">
        <v>206</v>
      </c>
      <c r="Z49" s="204" t="s">
        <v>207</v>
      </c>
      <c r="AA49" s="41"/>
      <c r="AB49" s="204" t="s">
        <v>299</v>
      </c>
    </row>
    <row r="50" spans="1:29" ht="12.75">
      <c r="A50" s="48" t="s">
        <v>46</v>
      </c>
      <c r="B50" s="47"/>
      <c r="C50" s="47"/>
      <c r="D50" s="47"/>
      <c r="E50" s="47"/>
      <c r="F50" s="47"/>
      <c r="G50" s="199" t="s">
        <v>228</v>
      </c>
      <c r="H50" s="99"/>
      <c r="I50" s="99"/>
      <c r="J50" s="99"/>
      <c r="K50" s="99"/>
      <c r="L50" s="99"/>
      <c r="M50" s="99"/>
      <c r="N50" s="99"/>
      <c r="O50" s="99"/>
      <c r="P50" s="87"/>
      <c r="Q50" s="203" t="s">
        <v>194</v>
      </c>
      <c r="R50" s="203" t="s">
        <v>195</v>
      </c>
      <c r="S50" s="203" t="s">
        <v>196</v>
      </c>
      <c r="T50" s="203" t="s">
        <v>197</v>
      </c>
      <c r="U50" s="30">
        <f>SQRT(SUMSQ(Q51,R51))</f>
        <v>83.78460479109512</v>
      </c>
      <c r="V50" s="30">
        <f>SQRT(SUMSQ(S51,T51))</f>
        <v>83.78460479109512</v>
      </c>
      <c r="W50" s="205">
        <f>SQRT(PRODUCT(U50,V50))</f>
        <v>83.78460479109512</v>
      </c>
      <c r="Z50" s="41" t="s">
        <v>209</v>
      </c>
      <c r="AA50" s="41" t="s">
        <v>210</v>
      </c>
      <c r="AB50" s="41" t="s">
        <v>208</v>
      </c>
      <c r="AC50" s="41" t="s">
        <v>211</v>
      </c>
    </row>
    <row r="51" spans="1:29" ht="12.75">
      <c r="A51" s="45"/>
      <c r="B51" s="46" t="s">
        <v>76</v>
      </c>
      <c r="C51" s="46" t="s">
        <v>75</v>
      </c>
      <c r="D51" s="46" t="s">
        <v>74</v>
      </c>
      <c r="E51" s="46" t="s">
        <v>73</v>
      </c>
      <c r="F51" s="47"/>
      <c r="G51" s="199" t="s">
        <v>160</v>
      </c>
      <c r="H51" s="99"/>
      <c r="I51" s="86"/>
      <c r="J51" s="86"/>
      <c r="K51" s="86"/>
      <c r="L51" s="86"/>
      <c r="M51" s="86"/>
      <c r="N51" s="86"/>
      <c r="O51" s="86"/>
      <c r="P51" s="87"/>
      <c r="Q51" s="23">
        <f>SUM(B64-C13)</f>
        <v>-83.5</v>
      </c>
      <c r="R51">
        <f>SUM(B66-C15)</f>
        <v>-6.899999999999999</v>
      </c>
      <c r="S51">
        <f>SUM(B64-C13)</f>
        <v>-83.5</v>
      </c>
      <c r="T51">
        <f>SUM(B66-C15)</f>
        <v>-6.899999999999999</v>
      </c>
      <c r="U51" s="30">
        <f>DEGREES(ATAN2(Q51,R51))</f>
        <v>-175.27611154470193</v>
      </c>
      <c r="V51" s="30">
        <f>DEGREES(ATAN2(S51,T51))</f>
        <v>-175.27611154470193</v>
      </c>
      <c r="W51" s="30">
        <f>PRODUCT(SUM(U51,V51),0.5)</f>
        <v>-175.27611154470193</v>
      </c>
      <c r="X51" s="30">
        <f>PRODUCT(W50,COS(RADIANS(W51)))</f>
        <v>-83.5</v>
      </c>
      <c r="Y51" s="30">
        <f>PRODUCT(W50,SIN(RADIANS(W51)))</f>
        <v>-6.9</v>
      </c>
      <c r="Z51" s="30">
        <f>SUM(-B64,X51)</f>
        <v>-205.5</v>
      </c>
      <c r="AA51" s="30">
        <f>SUM(-B66,Y51)</f>
        <v>17.5</v>
      </c>
      <c r="AB51" s="30">
        <f>SUM(-B64,-X51)</f>
        <v>-38.5</v>
      </c>
      <c r="AC51" s="30">
        <f>SUM(-B66,-Y51)</f>
        <v>31.299999999999997</v>
      </c>
    </row>
    <row r="52" spans="1:17" ht="12.75">
      <c r="A52" s="45"/>
      <c r="B52" s="47"/>
      <c r="C52" s="47"/>
      <c r="D52" s="47"/>
      <c r="E52" s="47"/>
      <c r="F52" s="47"/>
      <c r="G52" s="199" t="s">
        <v>222</v>
      </c>
      <c r="H52" s="99"/>
      <c r="I52" s="86"/>
      <c r="J52" s="86"/>
      <c r="K52" s="86"/>
      <c r="L52" s="86"/>
      <c r="M52" s="86"/>
      <c r="N52" s="86"/>
      <c r="O52" s="86"/>
      <c r="P52" s="87"/>
      <c r="Q52" s="23" t="s">
        <v>301</v>
      </c>
    </row>
    <row r="53" spans="1:29" ht="12.75">
      <c r="A53" s="59" t="s">
        <v>88</v>
      </c>
      <c r="B53" s="325">
        <v>207.3</v>
      </c>
      <c r="C53" s="325">
        <v>206.3</v>
      </c>
      <c r="D53" s="325">
        <v>228</v>
      </c>
      <c r="E53" s="325">
        <v>250</v>
      </c>
      <c r="F53" s="47"/>
      <c r="G53" s="199" t="s">
        <v>162</v>
      </c>
      <c r="H53" s="99"/>
      <c r="I53" s="86"/>
      <c r="J53" s="86"/>
      <c r="K53" s="86"/>
      <c r="L53" s="86"/>
      <c r="M53" s="86"/>
      <c r="N53" s="86"/>
      <c r="O53" s="86"/>
      <c r="P53" s="87"/>
      <c r="Q53" s="203" t="s">
        <v>194</v>
      </c>
      <c r="R53" s="203" t="s">
        <v>195</v>
      </c>
      <c r="S53" s="203" t="s">
        <v>196</v>
      </c>
      <c r="T53" s="203" t="s">
        <v>197</v>
      </c>
      <c r="U53" s="30">
        <f>SQRT(SUMSQ(Q54,R54))</f>
        <v>112.10218552731253</v>
      </c>
      <c r="V53" s="30">
        <f>SQRT(SUMSQ(S54,T54))</f>
        <v>120.25094594222533</v>
      </c>
      <c r="W53" s="205">
        <f>SQRT(PRODUCT(U53,V53))</f>
        <v>116.10509830257314</v>
      </c>
      <c r="Z53" s="41" t="s">
        <v>209</v>
      </c>
      <c r="AA53" s="41" t="s">
        <v>210</v>
      </c>
      <c r="AB53" s="41" t="s">
        <v>208</v>
      </c>
      <c r="AC53" s="41" t="s">
        <v>211</v>
      </c>
    </row>
    <row r="54" spans="1:29" ht="12.75">
      <c r="A54" s="45"/>
      <c r="B54" s="49"/>
      <c r="C54" s="49"/>
      <c r="D54" s="49"/>
      <c r="E54" s="49"/>
      <c r="F54" s="47"/>
      <c r="G54" s="199" t="s">
        <v>259</v>
      </c>
      <c r="H54" s="99"/>
      <c r="I54" s="86"/>
      <c r="J54" s="86"/>
      <c r="K54" s="86"/>
      <c r="L54" s="86"/>
      <c r="M54" s="86"/>
      <c r="N54" s="86"/>
      <c r="O54" s="86"/>
      <c r="P54" s="87"/>
      <c r="Q54" s="23">
        <f>SUM(C64-C13)</f>
        <v>-112.1</v>
      </c>
      <c r="R54">
        <f>SUM(C66-C15)</f>
        <v>0.6999999999999993</v>
      </c>
      <c r="S54">
        <f>SUM(C64-D13)</f>
        <v>-120.19999999999999</v>
      </c>
      <c r="T54">
        <f>SUM(C66-D15)</f>
        <v>-3.5</v>
      </c>
      <c r="U54" s="30">
        <f>DEGREES(ATAN2(Q54,R54))</f>
        <v>179.64222547390278</v>
      </c>
      <c r="V54" s="30">
        <f>DEGREES(ATAN2(S54,T54))</f>
        <v>-178.33212494632468</v>
      </c>
      <c r="W54" s="30">
        <f>PRODUCT(SUM(U54,V54),0.5)</f>
        <v>0.6550502637890503</v>
      </c>
      <c r="X54" s="30">
        <f>PRODUCT(W53,COS(RADIANS(W54)))</f>
        <v>116.09751042087458</v>
      </c>
      <c r="Y54" s="30">
        <f>PRODUCT(W53,SIN(RADIANS(W54)))</f>
        <v>1.3273755780063037</v>
      </c>
      <c r="Z54" s="30">
        <f>SUM(-C64,X54)</f>
        <v>22.69751042087458</v>
      </c>
      <c r="AA54" s="30">
        <f>SUM(-C66,Y54)</f>
        <v>18.127375578006305</v>
      </c>
      <c r="AB54" s="30">
        <f>SUM(-C64,-X54)</f>
        <v>-209.4975104208746</v>
      </c>
      <c r="AC54" s="30">
        <f>SUM(-C66,-Y54)</f>
        <v>15.472624421993697</v>
      </c>
    </row>
    <row r="55" spans="1:17" ht="12.75">
      <c r="A55" s="48" t="s">
        <v>41</v>
      </c>
      <c r="B55" s="325">
        <v>-6.6</v>
      </c>
      <c r="C55" s="325">
        <v>-5.9</v>
      </c>
      <c r="D55" s="325">
        <v>-1.6</v>
      </c>
      <c r="E55" s="325">
        <v>34</v>
      </c>
      <c r="F55" s="47"/>
      <c r="G55" s="200" t="s">
        <v>191</v>
      </c>
      <c r="H55" s="99"/>
      <c r="I55" s="86"/>
      <c r="J55" s="86"/>
      <c r="K55" s="86"/>
      <c r="L55" s="86"/>
      <c r="M55" s="86"/>
      <c r="N55" s="86"/>
      <c r="O55" s="86"/>
      <c r="P55" s="87"/>
      <c r="Q55" s="23" t="s">
        <v>302</v>
      </c>
    </row>
    <row r="56" spans="1:29" ht="12.75" thickBot="1">
      <c r="A56" s="51"/>
      <c r="B56" s="64"/>
      <c r="C56" s="64"/>
      <c r="D56" s="64"/>
      <c r="E56" s="64"/>
      <c r="F56" s="64"/>
      <c r="G56" s="200" t="s">
        <v>192</v>
      </c>
      <c r="H56" s="86"/>
      <c r="I56" s="86"/>
      <c r="J56" s="86"/>
      <c r="K56" s="86"/>
      <c r="L56" s="86"/>
      <c r="M56" s="86"/>
      <c r="N56" s="86"/>
      <c r="O56" s="86"/>
      <c r="P56" s="87"/>
      <c r="Q56" s="204" t="s">
        <v>194</v>
      </c>
      <c r="R56" s="204" t="s">
        <v>195</v>
      </c>
      <c r="S56" s="204" t="s">
        <v>196</v>
      </c>
      <c r="T56" s="204" t="s">
        <v>197</v>
      </c>
      <c r="U56" s="248">
        <f>SQRT(SUMSQ(Q57,R57))</f>
        <v>124.83020467819478</v>
      </c>
      <c r="V56" s="248">
        <f>SQRT(SUMSQ(S57,T57))</f>
        <v>87.78228750721868</v>
      </c>
      <c r="W56" s="248">
        <f>SQRT(PRODUCT(U56,V56))</f>
        <v>104.67989738553553</v>
      </c>
      <c r="X56" s="249"/>
      <c r="Y56" s="249"/>
      <c r="Z56" s="204" t="s">
        <v>209</v>
      </c>
      <c r="AA56" s="204" t="s">
        <v>210</v>
      </c>
      <c r="AB56" s="204" t="s">
        <v>208</v>
      </c>
      <c r="AC56" s="204" t="s">
        <v>211</v>
      </c>
    </row>
    <row r="57" spans="1:29" ht="14.25" thickBot="1" thickTop="1">
      <c r="A57" s="78" t="s">
        <v>55</v>
      </c>
      <c r="B57" s="79"/>
      <c r="C57" s="79"/>
      <c r="D57" s="79"/>
      <c r="E57" s="79"/>
      <c r="F57" s="80"/>
      <c r="G57" s="200" t="s">
        <v>193</v>
      </c>
      <c r="H57" s="86"/>
      <c r="I57" s="86"/>
      <c r="J57" s="86"/>
      <c r="K57" s="86"/>
      <c r="L57" s="86"/>
      <c r="M57" s="86"/>
      <c r="N57" s="86"/>
      <c r="O57" s="86"/>
      <c r="P57" s="87"/>
      <c r="Q57">
        <f>SUM(D64-C13)</f>
        <v>-124.7</v>
      </c>
      <c r="R57">
        <f>SUM(D66-C15)</f>
        <v>5.699999999999999</v>
      </c>
      <c r="S57">
        <f>SUM(D64-E13)</f>
        <v>-87.7</v>
      </c>
      <c r="T57">
        <f>SUM(D66-E15)</f>
        <v>3.799999999999999</v>
      </c>
      <c r="U57" s="30">
        <f>DEGREES(ATAN2(Q57,R57))</f>
        <v>177.3828486429433</v>
      </c>
      <c r="V57" s="30">
        <f>DEGREES(ATAN2(S57,T57))</f>
        <v>177.51895256255114</v>
      </c>
      <c r="W57" s="30">
        <f>PRODUCT(SUM(U57,V57),0.5)</f>
        <v>177.4509006027472</v>
      </c>
      <c r="X57" s="30">
        <f>PRODUCT(W56,COS(RADIANS(W57)))</f>
        <v>-104.57631404062357</v>
      </c>
      <c r="Y57" s="30">
        <f>PRODUCT(W56,SIN(RADIANS(W57)))</f>
        <v>4.65569096086971</v>
      </c>
      <c r="Z57" s="30">
        <f>SUM(-D64,X57)</f>
        <v>-185.37631404062358</v>
      </c>
      <c r="AA57" s="30">
        <f>SUM(-D66,Y57)</f>
        <v>16.45569096086971</v>
      </c>
      <c r="AB57" s="30">
        <f>SUM(-D64,-X57)</f>
        <v>23.776314040623575</v>
      </c>
      <c r="AC57" s="30">
        <f>SUM(-D66,-Y57)</f>
        <v>7.144309039130291</v>
      </c>
    </row>
    <row r="58" spans="1:17" ht="14.25" thickBot="1" thickTop="1">
      <c r="A58" s="78" t="s">
        <v>55</v>
      </c>
      <c r="B58" s="79"/>
      <c r="C58" s="79"/>
      <c r="D58" s="79"/>
      <c r="E58" s="79"/>
      <c r="F58" s="79"/>
      <c r="G58" s="84"/>
      <c r="H58" s="86"/>
      <c r="I58" s="86"/>
      <c r="J58" s="86"/>
      <c r="K58" s="86"/>
      <c r="L58" s="86"/>
      <c r="M58" s="86"/>
      <c r="N58" s="86"/>
      <c r="O58" s="86"/>
      <c r="P58" s="87"/>
      <c r="Q58" t="s">
        <v>303</v>
      </c>
    </row>
    <row r="59" spans="1:29" ht="12.75">
      <c r="A59" s="63"/>
      <c r="B59" s="112" t="s">
        <v>163</v>
      </c>
      <c r="C59" s="111"/>
      <c r="D59" s="113"/>
      <c r="E59" s="113"/>
      <c r="F59" s="44"/>
      <c r="G59" s="89"/>
      <c r="H59" s="189" t="s">
        <v>212</v>
      </c>
      <c r="I59" s="190"/>
      <c r="J59" s="190"/>
      <c r="K59" s="190"/>
      <c r="L59" s="190"/>
      <c r="M59" s="190"/>
      <c r="N59" s="190"/>
      <c r="O59" s="190"/>
      <c r="P59" s="87"/>
      <c r="Q59" s="204" t="s">
        <v>194</v>
      </c>
      <c r="R59" s="204" t="s">
        <v>195</v>
      </c>
      <c r="S59" s="204" t="s">
        <v>196</v>
      </c>
      <c r="T59" s="204" t="s">
        <v>197</v>
      </c>
      <c r="U59" s="248">
        <f>SQRT(SUMSQ(Q60,R60))</f>
        <v>118.25565525589042</v>
      </c>
      <c r="V59" s="248">
        <f>SQRT(SUMSQ(S60,T60))</f>
        <v>139.96606731633207</v>
      </c>
      <c r="W59" s="248">
        <f>SQRT(PRODUCT(U59,V59))</f>
        <v>128.6537174126069</v>
      </c>
      <c r="X59" s="249"/>
      <c r="Y59" s="249"/>
      <c r="Z59" s="204" t="s">
        <v>209</v>
      </c>
      <c r="AA59" s="204" t="s">
        <v>210</v>
      </c>
      <c r="AB59" s="204" t="s">
        <v>208</v>
      </c>
      <c r="AC59" s="204" t="s">
        <v>211</v>
      </c>
    </row>
    <row r="60" spans="1:29" ht="12.75" thickBot="1">
      <c r="A60" s="293" t="s">
        <v>429</v>
      </c>
      <c r="B60" s="47"/>
      <c r="C60" s="47"/>
      <c r="D60" s="47"/>
      <c r="E60" s="47"/>
      <c r="F60" s="47"/>
      <c r="G60" s="89"/>
      <c r="H60" s="85"/>
      <c r="I60" s="86"/>
      <c r="J60" s="86"/>
      <c r="K60" s="86"/>
      <c r="L60" s="86"/>
      <c r="M60" s="86"/>
      <c r="N60" s="86"/>
      <c r="O60" s="86"/>
      <c r="P60" s="87"/>
      <c r="Q60">
        <f>SUM(E64-C13)</f>
        <v>-117.4</v>
      </c>
      <c r="R60">
        <f>SUM(E66-C15)</f>
        <v>14.2</v>
      </c>
      <c r="S60">
        <f>SUM(E64-F13)</f>
        <v>-139.9</v>
      </c>
      <c r="T60">
        <f>SUM(E66-F15)</f>
        <v>-4.3</v>
      </c>
      <c r="U60" s="30">
        <f>DEGREES(ATAN2(Q60,R60))</f>
        <v>173.10334825067187</v>
      </c>
      <c r="V60" s="30">
        <f>DEGREES(ATAN2(S60,T60))</f>
        <v>-178.23949741239795</v>
      </c>
      <c r="W60" s="30">
        <f>PRODUCT(SUM(U60,V60),0.5)</f>
        <v>-2.5680745808630405</v>
      </c>
      <c r="X60" s="30">
        <f>PRODUCT(W59,COS(RADIANS(W60)))</f>
        <v>128.52450934371024</v>
      </c>
      <c r="Y60" s="30">
        <f>PRODUCT(W59,SIN(RADIANS(W60)))</f>
        <v>-5.764503624897582</v>
      </c>
      <c r="Z60" s="30">
        <f>SUM(-E64,X60)</f>
        <v>40.42450934371024</v>
      </c>
      <c r="AA60" s="30">
        <f>SUM(-E66,Y60)</f>
        <v>-2.4645036248975822</v>
      </c>
      <c r="AB60" s="30">
        <f>SUM(-E64,-X60)</f>
        <v>-216.62450934371023</v>
      </c>
      <c r="AC60" s="30">
        <f>SUM(-E66,-Y60)</f>
        <v>9.064503624897583</v>
      </c>
    </row>
    <row r="61" spans="1:16" ht="16.5" thickBot="1" thickTop="1">
      <c r="A61" s="81" t="s">
        <v>168</v>
      </c>
      <c r="B61" s="47"/>
      <c r="C61" s="47"/>
      <c r="D61" s="47"/>
      <c r="E61" s="47"/>
      <c r="F61" s="60" t="s">
        <v>3</v>
      </c>
      <c r="G61" s="180" t="s">
        <v>161</v>
      </c>
      <c r="H61" s="131">
        <f>Z51</f>
        <v>-205.5</v>
      </c>
      <c r="I61" s="154"/>
      <c r="J61" s="132">
        <f>AA51</f>
        <v>17.5</v>
      </c>
      <c r="K61" s="272" t="s">
        <v>4</v>
      </c>
      <c r="L61" s="180" t="s">
        <v>214</v>
      </c>
      <c r="M61" s="134">
        <f>Z54</f>
        <v>22.69751042087458</v>
      </c>
      <c r="N61" s="154"/>
      <c r="O61" s="135">
        <f>AA54</f>
        <v>18.127375578006305</v>
      </c>
      <c r="P61" s="272" t="s">
        <v>4</v>
      </c>
    </row>
    <row r="62" spans="1:16" ht="13.5" thickBot="1" thickTop="1">
      <c r="A62" s="45"/>
      <c r="B62" s="46" t="s">
        <v>164</v>
      </c>
      <c r="C62" s="46" t="s">
        <v>165</v>
      </c>
      <c r="D62" s="46" t="s">
        <v>166</v>
      </c>
      <c r="E62" s="46" t="s">
        <v>167</v>
      </c>
      <c r="F62" s="47"/>
      <c r="G62" s="93"/>
      <c r="H62" s="94"/>
      <c r="I62" s="95"/>
      <c r="J62" s="95"/>
      <c r="K62" s="95"/>
      <c r="L62" s="96"/>
      <c r="M62" s="95"/>
      <c r="N62" s="97"/>
      <c r="O62" s="86"/>
      <c r="P62" s="87"/>
    </row>
    <row r="63" spans="1:16" ht="16.5" thickBot="1" thickTop="1">
      <c r="A63" s="45"/>
      <c r="B63" s="47"/>
      <c r="C63" s="47"/>
      <c r="D63" s="47"/>
      <c r="E63" s="47"/>
      <c r="F63" s="47"/>
      <c r="G63" s="180" t="s">
        <v>215</v>
      </c>
      <c r="H63" s="131">
        <f>Z57</f>
        <v>-185.37631404062358</v>
      </c>
      <c r="I63" s="155"/>
      <c r="J63" s="135">
        <f>AA57</f>
        <v>16.45569096086971</v>
      </c>
      <c r="K63" s="272" t="s">
        <v>4</v>
      </c>
      <c r="L63" s="180" t="s">
        <v>216</v>
      </c>
      <c r="M63" s="134">
        <f>Z60</f>
        <v>40.42450934371024</v>
      </c>
      <c r="N63" s="155"/>
      <c r="O63" s="135">
        <f>AA60</f>
        <v>-2.4645036248975822</v>
      </c>
      <c r="P63" s="272" t="s">
        <v>4</v>
      </c>
    </row>
    <row r="64" spans="1:16" ht="13.5" thickTop="1">
      <c r="A64" s="59" t="s">
        <v>88</v>
      </c>
      <c r="B64" s="325">
        <v>122</v>
      </c>
      <c r="C64" s="325">
        <v>93.4</v>
      </c>
      <c r="D64" s="325">
        <v>80.8</v>
      </c>
      <c r="E64" s="325">
        <v>88.1</v>
      </c>
      <c r="F64" s="47" t="s">
        <v>3</v>
      </c>
      <c r="G64" s="84"/>
      <c r="H64" s="86"/>
      <c r="I64" s="86"/>
      <c r="J64" s="86"/>
      <c r="K64" s="86"/>
      <c r="L64" s="86"/>
      <c r="M64" s="157"/>
      <c r="N64" s="86"/>
      <c r="O64" s="86"/>
      <c r="P64" s="87"/>
    </row>
    <row r="65" spans="1:16" ht="12.75">
      <c r="A65" s="45"/>
      <c r="B65" s="49"/>
      <c r="C65" s="49"/>
      <c r="D65" s="49"/>
      <c r="E65" s="49"/>
      <c r="F65" s="47"/>
      <c r="G65" s="84"/>
      <c r="H65" s="186" t="s">
        <v>213</v>
      </c>
      <c r="I65" s="187"/>
      <c r="J65" s="187"/>
      <c r="K65" s="187"/>
      <c r="L65" s="187"/>
      <c r="M65" s="188"/>
      <c r="N65" s="187"/>
      <c r="O65" s="187"/>
      <c r="P65" s="156"/>
    </row>
    <row r="66" spans="1:16" ht="13.5" thickBot="1">
      <c r="A66" s="48" t="s">
        <v>41</v>
      </c>
      <c r="B66" s="325">
        <v>-24.4</v>
      </c>
      <c r="C66" s="325">
        <v>-16.8</v>
      </c>
      <c r="D66" s="325">
        <v>-11.8</v>
      </c>
      <c r="E66" s="325">
        <v>-3.3</v>
      </c>
      <c r="F66" s="47"/>
      <c r="G66" s="84"/>
      <c r="H66" s="86"/>
      <c r="I66" s="86"/>
      <c r="J66" s="86"/>
      <c r="K66" s="86"/>
      <c r="L66" s="86"/>
      <c r="M66" s="157"/>
      <c r="N66" s="86"/>
      <c r="O66" s="86"/>
      <c r="P66" s="156"/>
    </row>
    <row r="67" spans="1:16" ht="14.25" thickBot="1" thickTop="1">
      <c r="A67" s="50" t="s">
        <v>56</v>
      </c>
      <c r="B67" s="47"/>
      <c r="C67" s="47"/>
      <c r="D67" s="47"/>
      <c r="E67" s="47"/>
      <c r="F67" s="47"/>
      <c r="G67" s="180" t="s">
        <v>161</v>
      </c>
      <c r="H67" s="182">
        <f>AB51</f>
        <v>-38.5</v>
      </c>
      <c r="I67" s="183"/>
      <c r="J67" s="183">
        <f>AC51</f>
        <v>31.299999999999997</v>
      </c>
      <c r="K67" s="184" t="s">
        <v>4</v>
      </c>
      <c r="L67" s="180" t="s">
        <v>214</v>
      </c>
      <c r="M67" s="185">
        <f>AB54</f>
        <v>-209.4975104208746</v>
      </c>
      <c r="N67" s="183"/>
      <c r="O67" s="183">
        <f>AC54</f>
        <v>15.472624421993697</v>
      </c>
      <c r="P67" s="184" t="s">
        <v>4</v>
      </c>
    </row>
    <row r="68" spans="1:16" ht="14.25" thickBot="1" thickTop="1">
      <c r="A68" s="48" t="s">
        <v>169</v>
      </c>
      <c r="B68" s="47"/>
      <c r="C68" s="47"/>
      <c r="D68" s="47"/>
      <c r="E68" s="47"/>
      <c r="F68" s="47"/>
      <c r="G68" s="140"/>
      <c r="H68" s="98"/>
      <c r="I68" s="98"/>
      <c r="J68" s="98"/>
      <c r="K68" s="98"/>
      <c r="L68" s="98"/>
      <c r="M68" s="98"/>
      <c r="N68" s="98"/>
      <c r="O68" s="98"/>
      <c r="P68" s="87"/>
    </row>
    <row r="69" spans="1:16" ht="14.25" thickBot="1" thickTop="1">
      <c r="A69" s="45"/>
      <c r="B69" s="46" t="s">
        <v>174</v>
      </c>
      <c r="C69" s="46" t="s">
        <v>173</v>
      </c>
      <c r="D69" s="46" t="s">
        <v>175</v>
      </c>
      <c r="E69" s="46" t="s">
        <v>176</v>
      </c>
      <c r="F69" s="56"/>
      <c r="G69" s="181" t="s">
        <v>215</v>
      </c>
      <c r="H69" s="182">
        <f>AB57</f>
        <v>23.776314040623575</v>
      </c>
      <c r="I69" s="183"/>
      <c r="J69" s="183">
        <f>AC57</f>
        <v>7.144309039130291</v>
      </c>
      <c r="K69" s="184" t="s">
        <v>4</v>
      </c>
      <c r="L69" s="180" t="s">
        <v>216</v>
      </c>
      <c r="M69" s="182">
        <f>AB60</f>
        <v>-216.62450934371023</v>
      </c>
      <c r="N69" s="183"/>
      <c r="O69" s="183">
        <f>AC60</f>
        <v>9.064503624897583</v>
      </c>
      <c r="P69" s="184" t="s">
        <v>4</v>
      </c>
    </row>
    <row r="70" spans="1:16" ht="13.5" thickBot="1" thickTop="1">
      <c r="A70" s="45"/>
      <c r="B70" s="47"/>
      <c r="C70" s="47"/>
      <c r="D70" s="47"/>
      <c r="E70" s="47"/>
      <c r="F70" s="56"/>
      <c r="G70" s="261" t="s">
        <v>221</v>
      </c>
      <c r="H70" s="261"/>
      <c r="I70" s="261"/>
      <c r="J70" s="261"/>
      <c r="K70" s="261"/>
      <c r="L70" s="261"/>
      <c r="M70" s="261"/>
      <c r="N70" s="261"/>
      <c r="O70" s="261"/>
      <c r="P70" s="262"/>
    </row>
    <row r="71" spans="1:29" ht="14.25" thickBot="1" thickTop="1">
      <c r="A71" s="59" t="s">
        <v>88</v>
      </c>
      <c r="B71" s="325">
        <v>127.2</v>
      </c>
      <c r="C71" s="325">
        <v>123.6</v>
      </c>
      <c r="D71" s="325">
        <v>92.1</v>
      </c>
      <c r="E71" s="325">
        <v>98.8</v>
      </c>
      <c r="F71" s="56"/>
      <c r="G71" s="120"/>
      <c r="H71" s="120"/>
      <c r="I71" s="237"/>
      <c r="J71" s="238"/>
      <c r="K71" s="238"/>
      <c r="L71" s="238"/>
      <c r="M71" s="239"/>
      <c r="N71" s="120"/>
      <c r="O71" s="120"/>
      <c r="P71" s="120"/>
      <c r="Q71" s="259"/>
      <c r="R71" s="260"/>
      <c r="S71" s="260"/>
      <c r="T71" s="260"/>
      <c r="U71" s="260"/>
      <c r="V71" s="260"/>
      <c r="W71" s="260"/>
      <c r="X71" s="260"/>
      <c r="Y71" s="260"/>
      <c r="Z71" s="260"/>
      <c r="AA71" s="260"/>
      <c r="AB71" s="260"/>
      <c r="AC71" s="260"/>
    </row>
    <row r="72" spans="1:16" ht="15.75" thickTop="1">
      <c r="A72" s="45"/>
      <c r="B72" s="49"/>
      <c r="C72" s="49"/>
      <c r="D72" s="49"/>
      <c r="E72" s="49"/>
      <c r="F72" s="56"/>
      <c r="G72" s="120"/>
      <c r="H72" s="120"/>
      <c r="I72" s="246" t="s">
        <v>262</v>
      </c>
      <c r="J72" s="244"/>
      <c r="K72" s="244"/>
      <c r="L72" s="244"/>
      <c r="M72" s="245"/>
      <c r="N72" s="120"/>
      <c r="O72" s="120"/>
      <c r="P72" s="120"/>
    </row>
    <row r="73" spans="1:20" ht="13.5" thickBot="1">
      <c r="A73" s="48" t="s">
        <v>41</v>
      </c>
      <c r="B73" s="325">
        <v>-25.7</v>
      </c>
      <c r="C73" s="325">
        <v>-32</v>
      </c>
      <c r="D73" s="325">
        <v>-21.1</v>
      </c>
      <c r="E73" s="325">
        <v>-5</v>
      </c>
      <c r="F73" s="56"/>
      <c r="G73" s="120"/>
      <c r="H73" s="120"/>
      <c r="I73" s="243"/>
      <c r="J73" s="244"/>
      <c r="K73" s="244"/>
      <c r="L73" s="244"/>
      <c r="M73" s="245"/>
      <c r="N73" s="120"/>
      <c r="O73" s="120"/>
      <c r="P73" s="120"/>
      <c r="Q73" s="268" t="s">
        <v>414</v>
      </c>
      <c r="R73" s="269"/>
      <c r="S73" s="269"/>
      <c r="T73" s="269"/>
    </row>
    <row r="74" spans="1:26" ht="13.5" thickTop="1">
      <c r="A74" s="50" t="s">
        <v>56</v>
      </c>
      <c r="B74" s="47"/>
      <c r="C74" s="47"/>
      <c r="D74" s="47"/>
      <c r="E74" s="47"/>
      <c r="F74" s="56"/>
      <c r="G74" s="197" t="s">
        <v>156</v>
      </c>
      <c r="H74" s="191"/>
      <c r="I74" s="191"/>
      <c r="J74" s="191"/>
      <c r="K74" s="191"/>
      <c r="L74" s="191"/>
      <c r="M74" s="191"/>
      <c r="N74" s="191"/>
      <c r="O74" s="191"/>
      <c r="P74" s="137"/>
      <c r="Q74" s="3" t="s">
        <v>233</v>
      </c>
      <c r="W74" s="165" t="s">
        <v>142</v>
      </c>
      <c r="X74" s="166"/>
      <c r="Y74" s="158" t="s">
        <v>332</v>
      </c>
      <c r="Z74" s="159"/>
    </row>
    <row r="75" spans="1:26" ht="13.5" thickBot="1">
      <c r="A75" s="48" t="s">
        <v>170</v>
      </c>
      <c r="B75" s="47"/>
      <c r="C75" s="47"/>
      <c r="D75" s="47"/>
      <c r="E75" s="47"/>
      <c r="F75" s="47"/>
      <c r="G75" s="198" t="s">
        <v>157</v>
      </c>
      <c r="H75" s="171"/>
      <c r="I75" s="196"/>
      <c r="J75" s="190"/>
      <c r="K75" s="190"/>
      <c r="L75" s="190"/>
      <c r="M75" s="190"/>
      <c r="N75" s="190"/>
      <c r="O75" s="190"/>
      <c r="P75" s="192"/>
      <c r="Q75" s="3" t="s">
        <v>322</v>
      </c>
      <c r="W75" s="169" t="s">
        <v>337</v>
      </c>
      <c r="X75" s="167"/>
      <c r="Y75" s="161" t="s">
        <v>138</v>
      </c>
      <c r="Z75" s="162" t="s">
        <v>138</v>
      </c>
    </row>
    <row r="76" spans="1:26" ht="14.25" thickBot="1" thickTop="1">
      <c r="A76" s="45"/>
      <c r="B76" s="46" t="s">
        <v>180</v>
      </c>
      <c r="C76" s="46" t="s">
        <v>179</v>
      </c>
      <c r="D76" s="46" t="s">
        <v>178</v>
      </c>
      <c r="E76" s="46" t="s">
        <v>177</v>
      </c>
      <c r="F76" s="47"/>
      <c r="G76" s="140"/>
      <c r="H76" s="141" t="s">
        <v>140</v>
      </c>
      <c r="I76" s="142"/>
      <c r="J76" s="143"/>
      <c r="K76" s="143"/>
      <c r="L76" s="143"/>
      <c r="M76" s="143"/>
      <c r="N76" s="143"/>
      <c r="O76" s="144"/>
      <c r="P76" s="87"/>
      <c r="Q76" t="s">
        <v>438</v>
      </c>
      <c r="R76" t="s">
        <v>352</v>
      </c>
      <c r="T76" t="s">
        <v>351</v>
      </c>
      <c r="U76" t="s">
        <v>353</v>
      </c>
      <c r="V76" t="s">
        <v>354</v>
      </c>
      <c r="W76" s="160" t="s">
        <v>143</v>
      </c>
      <c r="X76" s="168" t="s">
        <v>9</v>
      </c>
      <c r="Y76" s="163" t="s">
        <v>333</v>
      </c>
      <c r="Z76" s="164" t="s">
        <v>334</v>
      </c>
    </row>
    <row r="77" spans="1:26" ht="13.5" thickTop="1">
      <c r="A77" s="45"/>
      <c r="B77" s="47"/>
      <c r="C77" s="47"/>
      <c r="D77" s="47"/>
      <c r="E77" s="47"/>
      <c r="F77" s="47"/>
      <c r="G77" s="84"/>
      <c r="H77" s="86"/>
      <c r="I77" s="86"/>
      <c r="J77" s="86"/>
      <c r="K77" s="86"/>
      <c r="L77" s="86"/>
      <c r="M77" s="86"/>
      <c r="N77" s="86"/>
      <c r="O77" s="86"/>
      <c r="P77" s="87"/>
      <c r="Q77" s="146" t="s">
        <v>229</v>
      </c>
      <c r="R77" s="71">
        <f>R85*COS(RADIANS(S85))</f>
        <v>70.1657375526004</v>
      </c>
      <c r="S77" s="72"/>
      <c r="T77" s="73">
        <f>R85*SIN(RADIANS(S85))</f>
        <v>-46.28056531958527</v>
      </c>
      <c r="U77" s="30">
        <f>C13-B32</f>
        <v>15.900000000000006</v>
      </c>
      <c r="V77" s="30">
        <f>C15-B34</f>
        <v>-38.5</v>
      </c>
      <c r="W77" s="30">
        <f>SQRT(SUMSQ(U77,V77))</f>
        <v>41.65405142360105</v>
      </c>
      <c r="X77" s="65">
        <f>DEGREES(ATAN2(U77,V77))</f>
        <v>-67.56001040777346</v>
      </c>
      <c r="Y77" s="30">
        <f>SQRT(SUMSQ(B13,B15))</f>
        <v>169.61426826773743</v>
      </c>
      <c r="Z77" s="65">
        <f>DEGREES(ATAN2(B13,B15))</f>
        <v>0.7431818730541038</v>
      </c>
    </row>
    <row r="78" spans="1:26" ht="12.75">
      <c r="A78" s="59" t="s">
        <v>88</v>
      </c>
      <c r="B78" s="325">
        <v>93.4</v>
      </c>
      <c r="C78" s="325">
        <v>123.6</v>
      </c>
      <c r="D78" s="325">
        <v>119.8</v>
      </c>
      <c r="E78" s="325">
        <v>99.7</v>
      </c>
      <c r="F78" s="47"/>
      <c r="G78" s="89"/>
      <c r="H78" s="189" t="s">
        <v>148</v>
      </c>
      <c r="I78" s="190"/>
      <c r="J78" s="190"/>
      <c r="K78" s="190"/>
      <c r="L78" s="190"/>
      <c r="M78" s="190"/>
      <c r="N78" s="190"/>
      <c r="O78" s="190"/>
      <c r="P78" s="87"/>
      <c r="Q78" s="147" t="s">
        <v>232</v>
      </c>
      <c r="R78" s="68">
        <f>R86*COS(RADIANS(S86))</f>
        <v>50.31032706452936</v>
      </c>
      <c r="S78" s="70"/>
      <c r="T78" s="74">
        <f>R86*SIN(RADIANS(S86))</f>
        <v>-50.695059022945344</v>
      </c>
      <c r="U78" s="30">
        <f>C13-C32</f>
        <v>1.3000000000000114</v>
      </c>
      <c r="V78" s="30">
        <f>C15-C34</f>
        <v>-23.8</v>
      </c>
      <c r="W78" s="30">
        <f>SQRT(SUMSQ(U78,V78))</f>
        <v>23.83547775900454</v>
      </c>
      <c r="X78" s="30">
        <f>DEGREES(ATAN2(U78,V78))</f>
        <v>-86.87350547516797</v>
      </c>
      <c r="Y78" s="30">
        <f>SQRT(SUMSQ(D13,D15))</f>
        <v>214.01366778783077</v>
      </c>
      <c r="Z78" s="30">
        <f>DEGREES(ATAN2(D13,D15))</f>
        <v>-3.56297443364676</v>
      </c>
    </row>
    <row r="79" spans="1:26" ht="13.5" thickBot="1">
      <c r="A79" s="45"/>
      <c r="B79" s="49"/>
      <c r="C79" s="49"/>
      <c r="D79" s="49"/>
      <c r="E79" s="49"/>
      <c r="F79" s="47"/>
      <c r="G79" s="89"/>
      <c r="H79" s="85"/>
      <c r="I79" s="86"/>
      <c r="J79" s="86"/>
      <c r="K79" s="86"/>
      <c r="L79" s="86"/>
      <c r="M79" s="86"/>
      <c r="N79" s="86"/>
      <c r="O79" s="86"/>
      <c r="P79" s="87"/>
      <c r="Q79" s="147" t="s">
        <v>230</v>
      </c>
      <c r="R79" s="68">
        <f>R87*COS(RADIANS(S87))</f>
        <v>2.203485629733847</v>
      </c>
      <c r="S79" s="69"/>
      <c r="T79" s="74">
        <f>R87*SIN(RADIANS(S87))</f>
        <v>19.258124231618243</v>
      </c>
      <c r="U79" s="30">
        <f>C13-D32</f>
        <v>-2.1999999999999886</v>
      </c>
      <c r="V79" s="30">
        <f>C15-D34</f>
        <v>0.3000000000000007</v>
      </c>
      <c r="W79" s="30">
        <f>SQRT(SUMSQ(U79,V79))</f>
        <v>2.220360331117441</v>
      </c>
      <c r="X79" s="65">
        <f>DEGREES(ATAN2(U79,V79))</f>
        <v>172.2348339815746</v>
      </c>
      <c r="Y79" s="30">
        <f>SQRT(SUMSQ(E13,E15))</f>
        <v>169.22059567322177</v>
      </c>
      <c r="Z79" s="65">
        <f>DEGREES(ATAN2(E13,E15))</f>
        <v>-5.289456864306534</v>
      </c>
    </row>
    <row r="80" spans="1:26" ht="16.5" thickBot="1" thickTop="1">
      <c r="A80" s="48" t="s">
        <v>41</v>
      </c>
      <c r="B80" s="325">
        <v>-16.8</v>
      </c>
      <c r="C80" s="325">
        <v>-32</v>
      </c>
      <c r="D80" s="325">
        <v>-29</v>
      </c>
      <c r="E80" s="325">
        <v>-12</v>
      </c>
      <c r="F80" s="47"/>
      <c r="G80" s="90" t="s">
        <v>229</v>
      </c>
      <c r="H80" s="131">
        <f>R77</f>
        <v>70.1657375526004</v>
      </c>
      <c r="I80" s="154" t="str">
        <f>IF(T77&gt;0,"+","-")</f>
        <v>-</v>
      </c>
      <c r="J80" s="132">
        <f>ABS(T77)</f>
        <v>46.28056531958527</v>
      </c>
      <c r="K80" s="133" t="s">
        <v>4</v>
      </c>
      <c r="L80" s="91" t="s">
        <v>232</v>
      </c>
      <c r="M80" s="134">
        <f>R78</f>
        <v>50.31032706452936</v>
      </c>
      <c r="N80" s="154" t="str">
        <f>IF(T78&gt;0,"+","-")</f>
        <v>-</v>
      </c>
      <c r="O80" s="135">
        <f>ABS(T78)</f>
        <v>50.695059022945344</v>
      </c>
      <c r="P80" s="133" t="s">
        <v>4</v>
      </c>
      <c r="Q80" s="148" t="s">
        <v>231</v>
      </c>
      <c r="R80" s="75">
        <f>R88*COS(RADIANS(S88))</f>
        <v>9.094864981557155</v>
      </c>
      <c r="S80" s="76"/>
      <c r="T80" s="77">
        <f>R88*SIN(RADIANS(S88))</f>
        <v>-3.7438708621895653</v>
      </c>
      <c r="U80" s="30">
        <f>C13-E32</f>
        <v>0.30000000000001137</v>
      </c>
      <c r="V80" s="30">
        <f>C15-E34</f>
        <v>-0.3000000000000007</v>
      </c>
      <c r="W80" s="30">
        <f>SQRT(SUMSQ(U80,V80))</f>
        <v>0.42426406871193706</v>
      </c>
      <c r="X80" s="30">
        <f>DEGREES(ATAN2(U80,V80))</f>
        <v>-44.999999999998984</v>
      </c>
      <c r="Y80" s="30">
        <f>SQRT(SUMSQ(F13,F15))</f>
        <v>228.0021929719098</v>
      </c>
      <c r="Z80" s="30">
        <f>DEGREES(ATAN2(F13,F15))</f>
        <v>0.25129566720895</v>
      </c>
    </row>
    <row r="81" spans="1:20" ht="14.25" thickBot="1" thickTop="1">
      <c r="A81" s="50" t="s">
        <v>56</v>
      </c>
      <c r="B81" s="47"/>
      <c r="C81" s="47"/>
      <c r="D81" s="47"/>
      <c r="E81" s="47"/>
      <c r="F81" s="47"/>
      <c r="G81" s="93"/>
      <c r="H81" s="94"/>
      <c r="I81" s="95"/>
      <c r="J81" s="95"/>
      <c r="K81" s="95"/>
      <c r="L81" s="96"/>
      <c r="M81" s="95"/>
      <c r="N81" s="97"/>
      <c r="O81" s="86"/>
      <c r="P81" s="87"/>
      <c r="Q81" s="127" t="s">
        <v>150</v>
      </c>
      <c r="R81" s="136"/>
      <c r="S81" s="191"/>
      <c r="T81" s="106"/>
    </row>
    <row r="82" spans="1:20" ht="16.5" thickBot="1" thickTop="1">
      <c r="A82" s="48" t="s">
        <v>171</v>
      </c>
      <c r="B82" s="47"/>
      <c r="C82" s="47"/>
      <c r="D82" s="47"/>
      <c r="E82" s="47"/>
      <c r="F82" s="47"/>
      <c r="G82" s="90" t="s">
        <v>230</v>
      </c>
      <c r="H82" s="131">
        <f>R79</f>
        <v>2.203485629733847</v>
      </c>
      <c r="I82" s="155" t="str">
        <f>IF(T79&gt;0,"+","-")</f>
        <v>+</v>
      </c>
      <c r="J82" s="135">
        <f>ABS(T79)</f>
        <v>19.258124231618243</v>
      </c>
      <c r="K82" s="133" t="s">
        <v>4</v>
      </c>
      <c r="L82" s="91" t="s">
        <v>231</v>
      </c>
      <c r="M82" s="134">
        <f>R80</f>
        <v>9.094864981557155</v>
      </c>
      <c r="N82" s="155" t="str">
        <f>IF(T80&gt;0,"+","-")</f>
        <v>-</v>
      </c>
      <c r="O82" s="135">
        <f>ABS(T80)</f>
        <v>3.7438708621895653</v>
      </c>
      <c r="P82" s="133" t="s">
        <v>4</v>
      </c>
      <c r="Q82" s="145" t="s">
        <v>151</v>
      </c>
      <c r="R82" s="128"/>
      <c r="S82" s="105"/>
      <c r="T82" s="192"/>
    </row>
    <row r="83" spans="1:20" ht="13.5" thickTop="1">
      <c r="A83" s="45"/>
      <c r="B83" s="46" t="s">
        <v>181</v>
      </c>
      <c r="C83" s="46" t="s">
        <v>182</v>
      </c>
      <c r="D83" s="46" t="s">
        <v>183</v>
      </c>
      <c r="E83" s="46" t="s">
        <v>184</v>
      </c>
      <c r="F83" s="47"/>
      <c r="G83" s="84"/>
      <c r="H83" s="86"/>
      <c r="I83" s="86"/>
      <c r="J83" s="86"/>
      <c r="K83" s="86"/>
      <c r="L83" s="86"/>
      <c r="M83" s="157"/>
      <c r="N83" s="86"/>
      <c r="O83" s="86"/>
      <c r="P83" s="87"/>
      <c r="Q83" t="s">
        <v>3</v>
      </c>
      <c r="R83" s="138" t="s">
        <v>14</v>
      </c>
      <c r="S83" s="195" t="s">
        <v>146</v>
      </c>
      <c r="T83" s="172" t="s">
        <v>147</v>
      </c>
    </row>
    <row r="84" spans="1:20" ht="13.5" thickBot="1">
      <c r="A84" s="45"/>
      <c r="B84" s="47"/>
      <c r="C84" s="47"/>
      <c r="D84" s="47"/>
      <c r="E84" s="47"/>
      <c r="F84" s="47"/>
      <c r="G84" s="84"/>
      <c r="H84" s="186" t="s">
        <v>149</v>
      </c>
      <c r="I84" s="187"/>
      <c r="J84" s="187"/>
      <c r="K84" s="187"/>
      <c r="L84" s="187"/>
      <c r="M84" s="188"/>
      <c r="N84" s="187"/>
      <c r="O84" s="187"/>
      <c r="P84" s="156"/>
      <c r="R84" s="139" t="s">
        <v>344</v>
      </c>
      <c r="S84" s="193" t="s">
        <v>343</v>
      </c>
      <c r="T84" s="194"/>
    </row>
    <row r="85" spans="1:20" ht="14.25" thickBot="1" thickTop="1">
      <c r="A85" s="59" t="s">
        <v>88</v>
      </c>
      <c r="B85" s="325">
        <v>80.8</v>
      </c>
      <c r="C85" s="325">
        <v>92.1</v>
      </c>
      <c r="D85" s="325">
        <v>119.8</v>
      </c>
      <c r="E85" s="325">
        <v>72.2</v>
      </c>
      <c r="F85" s="47"/>
      <c r="G85" s="84"/>
      <c r="H85" s="86"/>
      <c r="I85" s="86"/>
      <c r="J85" s="86"/>
      <c r="K85" s="86"/>
      <c r="L85" s="86"/>
      <c r="M85" s="157"/>
      <c r="N85" s="86"/>
      <c r="O85" s="86"/>
      <c r="P85" s="156"/>
      <c r="Q85" s="129" t="s">
        <v>229</v>
      </c>
      <c r="R85" s="173">
        <f>SQRT(PRODUCT(Y77,W77))</f>
        <v>84.054276825161</v>
      </c>
      <c r="S85" s="175">
        <f>PRODUCT(SUM(X77,Z77),0.5)</f>
        <v>-33.40841426735968</v>
      </c>
      <c r="T85" s="316">
        <f>SUM(S85,-180)</f>
        <v>-213.4084142673597</v>
      </c>
    </row>
    <row r="86" spans="1:20" ht="14.25" thickBot="1" thickTop="1">
      <c r="A86" s="45"/>
      <c r="B86" s="49"/>
      <c r="C86" s="49"/>
      <c r="D86" s="49"/>
      <c r="E86" s="49"/>
      <c r="F86" s="47"/>
      <c r="G86" s="180" t="s">
        <v>229</v>
      </c>
      <c r="H86" s="182">
        <f>PRODUCT(R77,-1)</f>
        <v>-70.1657375526004</v>
      </c>
      <c r="I86" s="183"/>
      <c r="J86" s="183">
        <f>PRODUCT(T77,-1)</f>
        <v>46.28056531958527</v>
      </c>
      <c r="K86" s="184" t="s">
        <v>4</v>
      </c>
      <c r="L86" s="181" t="s">
        <v>232</v>
      </c>
      <c r="M86" s="185">
        <f>PRODUCT(R78,-1)</f>
        <v>-50.31032706452936</v>
      </c>
      <c r="N86" s="183"/>
      <c r="O86" s="183">
        <f>PRODUCT(T78,-1)</f>
        <v>50.695059022945344</v>
      </c>
      <c r="P86" s="184" t="s">
        <v>4</v>
      </c>
      <c r="Q86" s="125" t="s">
        <v>232</v>
      </c>
      <c r="R86" s="123">
        <f>SQRT(PRODUCT(Y78,W78))</f>
        <v>71.42211155293455</v>
      </c>
      <c r="S86" s="176">
        <f>PRODUCT(SUM(X78,Z78),0.5)</f>
        <v>-45.218239954407366</v>
      </c>
      <c r="T86" s="174">
        <f>SUM(S86,-180)</f>
        <v>-225.21823995440735</v>
      </c>
    </row>
    <row r="87" spans="1:20" ht="14.25" thickBot="1" thickTop="1">
      <c r="A87" s="48" t="s">
        <v>41</v>
      </c>
      <c r="B87" s="325">
        <v>-11.8</v>
      </c>
      <c r="C87" s="325">
        <v>-21.1</v>
      </c>
      <c r="D87" s="325">
        <v>-29</v>
      </c>
      <c r="E87" s="325">
        <v>20</v>
      </c>
      <c r="F87" s="47"/>
      <c r="G87" s="140"/>
      <c r="H87" s="98"/>
      <c r="I87" s="98"/>
      <c r="J87" s="98"/>
      <c r="K87" s="98"/>
      <c r="L87" s="98"/>
      <c r="M87" s="98"/>
      <c r="N87" s="98"/>
      <c r="O87" s="98"/>
      <c r="P87" s="87"/>
      <c r="Q87" s="130" t="s">
        <v>230</v>
      </c>
      <c r="R87" s="123">
        <f>SQRT(PRODUCT(Y79,W79))</f>
        <v>19.38377408661392</v>
      </c>
      <c r="S87" s="176">
        <f>PRODUCT(SUM(X79,Z79),0.5)</f>
        <v>83.47268855863403</v>
      </c>
      <c r="T87" s="174">
        <f>SUM(S87,-180)</f>
        <v>-96.52731144136597</v>
      </c>
    </row>
    <row r="88" spans="1:20" ht="14.25" thickBot="1" thickTop="1">
      <c r="A88" s="50" t="s">
        <v>56</v>
      </c>
      <c r="B88" s="47"/>
      <c r="C88" s="47"/>
      <c r="D88" s="47"/>
      <c r="E88" s="47"/>
      <c r="F88" s="47"/>
      <c r="G88" s="180" t="s">
        <v>230</v>
      </c>
      <c r="H88" s="182">
        <f>PRODUCT(R79,-1)</f>
        <v>-2.203485629733847</v>
      </c>
      <c r="I88" s="183"/>
      <c r="J88" s="183">
        <f>PRODUCT(T79,-1)</f>
        <v>-19.258124231618243</v>
      </c>
      <c r="K88" s="184" t="s">
        <v>4</v>
      </c>
      <c r="L88" s="181" t="s">
        <v>231</v>
      </c>
      <c r="M88" s="182">
        <f>PRODUCT(R80,-1)</f>
        <v>-9.094864981557155</v>
      </c>
      <c r="N88" s="183"/>
      <c r="O88" s="183">
        <f>PRODUCT(T80,-1)</f>
        <v>3.7438708621895653</v>
      </c>
      <c r="P88" s="184" t="s">
        <v>4</v>
      </c>
      <c r="Q88" s="126" t="s">
        <v>231</v>
      </c>
      <c r="R88" s="124">
        <f>SQRT(PRODUCT(Y80,W80))</f>
        <v>9.835300608802289</v>
      </c>
      <c r="S88" s="177">
        <f>PRODUCT(SUM(X80,Z80),0.5)</f>
        <v>-22.374352166395017</v>
      </c>
      <c r="T88" s="174">
        <f>SUM(S88,-180)</f>
        <v>-202.37435216639503</v>
      </c>
    </row>
    <row r="89" spans="1:16" ht="13.5" thickTop="1">
      <c r="A89" s="48" t="s">
        <v>172</v>
      </c>
      <c r="B89" s="47"/>
      <c r="C89" s="47"/>
      <c r="D89" s="47"/>
      <c r="E89" s="47"/>
      <c r="F89" s="47"/>
      <c r="G89" s="180"/>
      <c r="H89" s="92"/>
      <c r="I89" s="92"/>
      <c r="J89" s="92"/>
      <c r="K89" s="98"/>
      <c r="L89" s="181"/>
      <c r="M89" s="92"/>
      <c r="N89" s="92"/>
      <c r="O89" s="92"/>
      <c r="P89" s="156"/>
    </row>
    <row r="90" spans="1:16" ht="12.75" thickBot="1">
      <c r="A90" s="45"/>
      <c r="B90" s="46" t="s">
        <v>188</v>
      </c>
      <c r="C90" s="46" t="s">
        <v>187</v>
      </c>
      <c r="D90" s="46" t="s">
        <v>186</v>
      </c>
      <c r="E90" s="46" t="s">
        <v>185</v>
      </c>
      <c r="F90" s="47"/>
      <c r="G90" s="84" t="s">
        <v>221</v>
      </c>
      <c r="H90" s="86"/>
      <c r="I90" s="86"/>
      <c r="J90" s="86"/>
      <c r="K90" s="86"/>
      <c r="L90" s="86"/>
      <c r="M90" s="86"/>
      <c r="N90" s="86"/>
      <c r="O90" s="86"/>
      <c r="P90" s="87"/>
    </row>
    <row r="91" spans="1:20" ht="13.5" thickTop="1">
      <c r="A91" s="45"/>
      <c r="B91" s="47"/>
      <c r="C91" s="47"/>
      <c r="D91" s="47"/>
      <c r="E91" s="47"/>
      <c r="F91" s="47"/>
      <c r="G91" s="197" t="s">
        <v>156</v>
      </c>
      <c r="H91" s="191"/>
      <c r="I91" s="191"/>
      <c r="J91" s="191"/>
      <c r="K91" s="191"/>
      <c r="L91" s="191"/>
      <c r="M91" s="191"/>
      <c r="N91" s="191"/>
      <c r="O91" s="191"/>
      <c r="P91" s="137"/>
      <c r="Q91" s="270" t="s">
        <v>415</v>
      </c>
      <c r="R91" s="271"/>
      <c r="S91" s="271"/>
      <c r="T91" s="271"/>
    </row>
    <row r="92" spans="1:16" ht="13.5" thickBot="1">
      <c r="A92" s="59" t="s">
        <v>88</v>
      </c>
      <c r="B92" s="325">
        <v>88.1</v>
      </c>
      <c r="C92" s="325">
        <v>98.8</v>
      </c>
      <c r="D92" s="325">
        <v>99.7</v>
      </c>
      <c r="E92" s="325">
        <v>75.2</v>
      </c>
      <c r="F92" s="47"/>
      <c r="G92" s="198" t="s">
        <v>158</v>
      </c>
      <c r="H92" s="171"/>
      <c r="I92" s="196"/>
      <c r="J92" s="190"/>
      <c r="K92" s="190"/>
      <c r="L92" s="190"/>
      <c r="M92" s="190"/>
      <c r="N92" s="190"/>
      <c r="O92" s="190"/>
      <c r="P92" s="192"/>
    </row>
    <row r="93" spans="1:17" ht="14.25" thickBot="1" thickTop="1">
      <c r="A93" s="45"/>
      <c r="B93" s="49"/>
      <c r="C93" s="49"/>
      <c r="D93" s="49"/>
      <c r="E93" s="49"/>
      <c r="F93" s="47"/>
      <c r="G93" s="140"/>
      <c r="H93" s="141" t="s">
        <v>140</v>
      </c>
      <c r="I93" s="142"/>
      <c r="J93" s="143"/>
      <c r="K93" s="143"/>
      <c r="L93" s="143"/>
      <c r="M93" s="143"/>
      <c r="N93" s="143"/>
      <c r="O93" s="144"/>
      <c r="P93" s="87"/>
      <c r="Q93" s="235" t="s">
        <v>193</v>
      </c>
    </row>
    <row r="94" spans="1:16" ht="13.5" thickTop="1">
      <c r="A94" s="48" t="s">
        <v>41</v>
      </c>
      <c r="B94" s="325">
        <v>-3.3</v>
      </c>
      <c r="C94" s="325">
        <v>-5</v>
      </c>
      <c r="D94" s="325">
        <v>-12</v>
      </c>
      <c r="E94" s="325">
        <v>26</v>
      </c>
      <c r="F94" s="47"/>
      <c r="G94" s="140"/>
      <c r="H94" s="207"/>
      <c r="I94" s="207"/>
      <c r="J94" s="208"/>
      <c r="K94" s="208"/>
      <c r="L94" s="208"/>
      <c r="M94" s="208"/>
      <c r="N94" s="208"/>
      <c r="O94" s="208"/>
      <c r="P94" s="87"/>
    </row>
    <row r="95" spans="1:27" ht="12.75" thickBot="1">
      <c r="A95" s="51"/>
      <c r="B95" s="64"/>
      <c r="C95" s="64"/>
      <c r="D95" s="64"/>
      <c r="E95" s="64"/>
      <c r="F95" s="64"/>
      <c r="G95" s="89"/>
      <c r="H95" s="189" t="s">
        <v>212</v>
      </c>
      <c r="I95" s="190"/>
      <c r="J95" s="190"/>
      <c r="K95" s="190"/>
      <c r="L95" s="190"/>
      <c r="M95" s="190"/>
      <c r="N95" s="190"/>
      <c r="O95" s="190"/>
      <c r="P95" s="87"/>
      <c r="Q95" t="s">
        <v>304</v>
      </c>
      <c r="U95" t="s">
        <v>198</v>
      </c>
      <c r="W95" t="s">
        <v>53</v>
      </c>
      <c r="X95" t="s">
        <v>204</v>
      </c>
      <c r="AA95" s="41"/>
    </row>
    <row r="96" spans="1:28" ht="14.25" thickBot="1" thickTop="1">
      <c r="A96" s="78" t="s">
        <v>55</v>
      </c>
      <c r="B96" s="79"/>
      <c r="C96" s="79"/>
      <c r="D96" s="79"/>
      <c r="E96" s="79"/>
      <c r="F96" s="80"/>
      <c r="G96" s="89"/>
      <c r="H96" s="85"/>
      <c r="I96" s="86"/>
      <c r="J96" s="86"/>
      <c r="K96" s="86"/>
      <c r="L96" s="86"/>
      <c r="M96" s="86"/>
      <c r="N96" s="86"/>
      <c r="O96" s="86"/>
      <c r="P96" s="87"/>
      <c r="Q96" s="203" t="s">
        <v>234</v>
      </c>
      <c r="R96" s="203"/>
      <c r="S96" s="203" t="s">
        <v>235</v>
      </c>
      <c r="T96" s="203"/>
      <c r="U96" s="203" t="s">
        <v>202</v>
      </c>
      <c r="V96" s="203" t="s">
        <v>203</v>
      </c>
      <c r="W96" s="41" t="s">
        <v>200</v>
      </c>
      <c r="X96" s="328" t="s">
        <v>205</v>
      </c>
      <c r="Y96" s="328" t="s">
        <v>206</v>
      </c>
      <c r="Z96" s="204" t="s">
        <v>207</v>
      </c>
      <c r="AA96" s="41"/>
      <c r="AB96" s="204" t="s">
        <v>299</v>
      </c>
    </row>
    <row r="97" spans="1:29" ht="16.5" thickBot="1" thickTop="1">
      <c r="A97" s="201"/>
      <c r="B97" s="47"/>
      <c r="C97" s="47"/>
      <c r="D97" s="47"/>
      <c r="E97" s="47"/>
      <c r="F97" s="202"/>
      <c r="G97" s="180" t="s">
        <v>217</v>
      </c>
      <c r="H97" s="131">
        <f>Z98</f>
        <v>-186.7275881298013</v>
      </c>
      <c r="I97" s="154"/>
      <c r="J97" s="132">
        <f>AA98</f>
        <v>4.430450203371514</v>
      </c>
      <c r="K97" s="133" t="s">
        <v>4</v>
      </c>
      <c r="L97" s="180" t="s">
        <v>219</v>
      </c>
      <c r="M97" s="134">
        <f>Z101</f>
        <v>-209.46430190871973</v>
      </c>
      <c r="N97" s="154"/>
      <c r="O97" s="135">
        <f>AA101</f>
        <v>15.482483774133229</v>
      </c>
      <c r="P97" s="133" t="s">
        <v>4</v>
      </c>
      <c r="Q97" s="203" t="s">
        <v>194</v>
      </c>
      <c r="R97" s="203" t="s">
        <v>195</v>
      </c>
      <c r="S97" s="203" t="s">
        <v>196</v>
      </c>
      <c r="T97" s="203" t="s">
        <v>197</v>
      </c>
      <c r="U97" s="30">
        <f>SQRT(SUMSQ(Q98,R98))</f>
        <v>78.72820333273204</v>
      </c>
      <c r="V97" s="30">
        <f>SQRT(SUMSQ(S98,T98))</f>
        <v>50.755984868781724</v>
      </c>
      <c r="W97" s="205">
        <f>SQRT(PRODUCT(U97,V97))</f>
        <v>63.21334904197465</v>
      </c>
      <c r="Z97" s="41" t="s">
        <v>209</v>
      </c>
      <c r="AA97" s="41" t="s">
        <v>210</v>
      </c>
      <c r="AB97" s="41" t="s">
        <v>208</v>
      </c>
      <c r="AC97" s="41" t="s">
        <v>211</v>
      </c>
    </row>
    <row r="98" spans="1:29" ht="14.25" thickBot="1" thickTop="1">
      <c r="A98" s="63"/>
      <c r="B98" s="112" t="s">
        <v>77</v>
      </c>
      <c r="C98" s="113"/>
      <c r="D98" s="113"/>
      <c r="E98" s="44"/>
      <c r="F98" s="57"/>
      <c r="G98" s="93"/>
      <c r="H98" s="94"/>
      <c r="I98" s="95"/>
      <c r="J98" s="95"/>
      <c r="K98" s="95"/>
      <c r="L98" s="96"/>
      <c r="M98" s="95"/>
      <c r="N98" s="97"/>
      <c r="O98" s="86"/>
      <c r="P98" s="87"/>
      <c r="Q98" s="23">
        <f>SUM(B71-C13)</f>
        <v>-78.3</v>
      </c>
      <c r="R98">
        <f>SUM(B73-C15)</f>
        <v>-8.2</v>
      </c>
      <c r="S98">
        <f>SUM(B71-B13)</f>
        <v>-42.39999999999999</v>
      </c>
      <c r="T98">
        <f>SUM(B73-B15)</f>
        <v>-27.9</v>
      </c>
      <c r="U98" s="30">
        <f>DEGREES(ATAN2(Q98,R98))</f>
        <v>-174.0214684918693</v>
      </c>
      <c r="V98" s="30">
        <f>DEGREES(ATAN2(S98,T98))</f>
        <v>-146.65432918669146</v>
      </c>
      <c r="W98" s="30">
        <f>PRODUCT(SUM(U98,V98),0.5)</f>
        <v>-160.3378988392804</v>
      </c>
      <c r="X98" s="30">
        <f>PRODUCT(W97,COS(RADIANS(W98)))</f>
        <v>-59.52758812980129</v>
      </c>
      <c r="Y98" s="30">
        <f>PRODUCT(W97,SIN(RADIANS(W98)))</f>
        <v>-21.269549796628485</v>
      </c>
      <c r="Z98" s="30">
        <f>SUM(-B71,X98)</f>
        <v>-186.7275881298013</v>
      </c>
      <c r="AA98" s="30">
        <f>SUM(-B73,Y98)</f>
        <v>4.430450203371514</v>
      </c>
      <c r="AB98" s="30">
        <f>SUM(-B71,-X98)</f>
        <v>-67.67241187019872</v>
      </c>
      <c r="AC98" s="30">
        <f>SUM(-B73,-Y98)</f>
        <v>46.969549796628485</v>
      </c>
    </row>
    <row r="99" spans="1:17" ht="16.5" thickBot="1" thickTop="1">
      <c r="A99" s="1" t="s">
        <v>95</v>
      </c>
      <c r="G99" s="180" t="s">
        <v>218</v>
      </c>
      <c r="H99" s="131">
        <f>Z104</f>
        <v>-185.198111777554</v>
      </c>
      <c r="I99" s="155"/>
      <c r="J99" s="135">
        <f>AA104</f>
        <v>16.273156668593725</v>
      </c>
      <c r="K99" s="133" t="s">
        <v>4</v>
      </c>
      <c r="L99" s="180" t="s">
        <v>220</v>
      </c>
      <c r="M99" s="134">
        <f>Z107</f>
        <v>19.00389615593278</v>
      </c>
      <c r="N99" s="155"/>
      <c r="O99" s="135">
        <f>AA107</f>
        <v>0.8626156188005574</v>
      </c>
      <c r="P99" s="133" t="s">
        <v>4</v>
      </c>
      <c r="Q99" s="23" t="s">
        <v>305</v>
      </c>
    </row>
    <row r="100" spans="1:29" ht="13.5" thickTop="1">
      <c r="A100" s="1" t="s">
        <v>96</v>
      </c>
      <c r="G100" s="84"/>
      <c r="H100" s="86"/>
      <c r="I100" s="86"/>
      <c r="J100" s="86"/>
      <c r="K100" s="86"/>
      <c r="L100" s="86"/>
      <c r="M100" s="157"/>
      <c r="N100" s="86"/>
      <c r="O100" s="86"/>
      <c r="P100" s="87"/>
      <c r="Q100" s="203" t="s">
        <v>194</v>
      </c>
      <c r="R100" s="203" t="s">
        <v>195</v>
      </c>
      <c r="S100" s="203" t="s">
        <v>196</v>
      </c>
      <c r="T100" s="203" t="s">
        <v>197</v>
      </c>
      <c r="U100" s="30">
        <f>SQRT(SUMSQ(Q101,R101))</f>
        <v>83.17367371951296</v>
      </c>
      <c r="V100" s="30">
        <f>SQRT(SUMSQ(S101,T101))</f>
        <v>91.92219536107697</v>
      </c>
      <c r="W100" s="205">
        <f>SQRT(PRODUCT(U100,V100))</f>
        <v>87.43858807496576</v>
      </c>
      <c r="Z100" s="41" t="s">
        <v>209</v>
      </c>
      <c r="AA100" s="41" t="s">
        <v>210</v>
      </c>
      <c r="AB100" s="41" t="s">
        <v>208</v>
      </c>
      <c r="AC100" s="41" t="s">
        <v>211</v>
      </c>
    </row>
    <row r="101" spans="1:29" ht="12.75">
      <c r="A101" s="1" t="s">
        <v>97</v>
      </c>
      <c r="G101" s="84"/>
      <c r="H101" s="186" t="s">
        <v>213</v>
      </c>
      <c r="I101" s="187"/>
      <c r="J101" s="187"/>
      <c r="K101" s="187"/>
      <c r="L101" s="187"/>
      <c r="M101" s="188"/>
      <c r="N101" s="187"/>
      <c r="O101" s="187"/>
      <c r="P101" s="156"/>
      <c r="Q101" s="23">
        <f>SUM(C71-C13)</f>
        <v>-81.9</v>
      </c>
      <c r="R101">
        <f>SUM(C73-C15)</f>
        <v>-14.5</v>
      </c>
      <c r="S101">
        <f>SUM(C71-D13)</f>
        <v>-90</v>
      </c>
      <c r="T101">
        <f>SUM(C73-D15)</f>
        <v>-18.7</v>
      </c>
      <c r="U101" s="30">
        <f>DEGREES(ATAN2(Q101,R101))</f>
        <v>-169.96009610128388</v>
      </c>
      <c r="V101" s="30">
        <f>DEGREES(ATAN2(S101,T101))</f>
        <v>-168.26222135372018</v>
      </c>
      <c r="W101" s="30">
        <f>PRODUCT(SUM(U101,V101),0.5)</f>
        <v>-169.11115872750202</v>
      </c>
      <c r="X101" s="30">
        <f>PRODUCT(W100,COS(RADIANS(W101)))</f>
        <v>-85.86430190871974</v>
      </c>
      <c r="Y101" s="30">
        <f>PRODUCT(W100,SIN(RADIANS(W101)))</f>
        <v>-16.51751622586677</v>
      </c>
      <c r="Z101" s="30">
        <f>SUM(-C71,X101)</f>
        <v>-209.46430190871973</v>
      </c>
      <c r="AA101" s="30">
        <f>SUM(-C73,Y101)</f>
        <v>15.482483774133229</v>
      </c>
      <c r="AB101" s="30">
        <f>SUM(-C71,-X101)</f>
        <v>-37.735698091280256</v>
      </c>
      <c r="AC101" s="30">
        <f>SUM(-C73,-Y101)</f>
        <v>48.51751622586677</v>
      </c>
    </row>
    <row r="102" spans="1:17" ht="13.5" thickBot="1">
      <c r="A102" s="101" t="s">
        <v>98</v>
      </c>
      <c r="G102" s="84"/>
      <c r="H102" s="86"/>
      <c r="I102" s="86"/>
      <c r="J102" s="86"/>
      <c r="K102" s="86"/>
      <c r="L102" s="86"/>
      <c r="M102" s="157"/>
      <c r="N102" s="86"/>
      <c r="O102" s="86"/>
      <c r="P102" s="156"/>
      <c r="Q102" s="23" t="s">
        <v>306</v>
      </c>
    </row>
    <row r="103" spans="1:29" ht="14.25" thickBot="1" thickTop="1">
      <c r="A103" s="101" t="s">
        <v>99</v>
      </c>
      <c r="G103" s="180" t="s">
        <v>217</v>
      </c>
      <c r="H103" s="182">
        <f>AB98</f>
        <v>-67.67241187019872</v>
      </c>
      <c r="I103" s="183"/>
      <c r="J103" s="183">
        <f>AC98</f>
        <v>46.969549796628485</v>
      </c>
      <c r="K103" s="184" t="s">
        <v>4</v>
      </c>
      <c r="L103" s="180" t="s">
        <v>219</v>
      </c>
      <c r="M103" s="185">
        <f>AB101</f>
        <v>-37.735698091280256</v>
      </c>
      <c r="N103" s="183"/>
      <c r="O103" s="183">
        <f>AC101</f>
        <v>48.51751622586677</v>
      </c>
      <c r="P103" s="184" t="s">
        <v>4</v>
      </c>
      <c r="Q103" s="204" t="s">
        <v>194</v>
      </c>
      <c r="R103" s="204" t="s">
        <v>195</v>
      </c>
      <c r="S103" s="204" t="s">
        <v>196</v>
      </c>
      <c r="T103" s="204" t="s">
        <v>197</v>
      </c>
      <c r="U103" s="248">
        <f>SQRT(SUMSQ(Q104,R104))</f>
        <v>113.45712846709985</v>
      </c>
      <c r="V103" s="248">
        <f>SQRT(SUMSQ(S104,T104))</f>
        <v>76.5977153706297</v>
      </c>
      <c r="W103" s="248">
        <f>SQRT(PRODUCT(U103,V103))</f>
        <v>93.22315609917894</v>
      </c>
      <c r="X103" s="249"/>
      <c r="Y103" s="249"/>
      <c r="Z103" s="204" t="s">
        <v>209</v>
      </c>
      <c r="AA103" s="204" t="s">
        <v>210</v>
      </c>
      <c r="AB103" s="204" t="s">
        <v>208</v>
      </c>
      <c r="AC103" s="204" t="s">
        <v>211</v>
      </c>
    </row>
    <row r="104" spans="1:29" ht="14.25" thickBot="1" thickTop="1">
      <c r="A104" s="101" t="s">
        <v>94</v>
      </c>
      <c r="G104" s="140"/>
      <c r="H104" s="98"/>
      <c r="I104" s="98"/>
      <c r="J104" s="98"/>
      <c r="K104" s="98"/>
      <c r="L104" s="98"/>
      <c r="M104" s="98"/>
      <c r="N104" s="98"/>
      <c r="O104" s="98"/>
      <c r="P104" s="87"/>
      <c r="Q104">
        <f>SUM(D71-C13)</f>
        <v>-113.4</v>
      </c>
      <c r="R104">
        <f>SUM(D73-C15)</f>
        <v>-3.6000000000000014</v>
      </c>
      <c r="S104">
        <f>SUM(D71-E13)</f>
        <v>-76.4</v>
      </c>
      <c r="T104">
        <f>SUM(D73-E15)</f>
        <v>-5.500000000000002</v>
      </c>
      <c r="U104" s="30">
        <f>DEGREES(ATAN2(Q104,R104))</f>
        <v>-178.18169703554818</v>
      </c>
      <c r="V104" s="30">
        <f>DEGREES(ATAN2(S104,T104))</f>
        <v>-175.88240715813436</v>
      </c>
      <c r="W104" s="30">
        <f>PRODUCT(SUM(U104,V104),0.5)</f>
        <v>-177.03205209684126</v>
      </c>
      <c r="X104" s="30">
        <f>PRODUCT(W103,COS(RADIANS(W104)))</f>
        <v>-93.09811177755402</v>
      </c>
      <c r="Y104" s="30">
        <f>PRODUCT(W103,SIN(RADIANS(W104)))</f>
        <v>-4.826843331406276</v>
      </c>
      <c r="Z104" s="30">
        <f>SUM(-D71,X104)</f>
        <v>-185.198111777554</v>
      </c>
      <c r="AA104" s="30">
        <f>SUM(-D73,Y104)</f>
        <v>16.273156668593725</v>
      </c>
      <c r="AB104" s="30">
        <f>SUM(-D71,-X104)</f>
        <v>0.9981117775540298</v>
      </c>
      <c r="AC104" s="30">
        <f>SUM(-D73,-Y104)</f>
        <v>25.92684333140628</v>
      </c>
    </row>
    <row r="105" spans="1:17" ht="14.25" thickBot="1" thickTop="1">
      <c r="A105" s="102" t="s">
        <v>92</v>
      </c>
      <c r="G105" s="180" t="s">
        <v>218</v>
      </c>
      <c r="H105" s="182">
        <f>AB104</f>
        <v>0.9981117775540298</v>
      </c>
      <c r="I105" s="183"/>
      <c r="J105" s="183">
        <f>AC104</f>
        <v>25.92684333140628</v>
      </c>
      <c r="K105" s="184" t="s">
        <v>4</v>
      </c>
      <c r="L105" s="180" t="s">
        <v>220</v>
      </c>
      <c r="M105" s="182">
        <f>AB107</f>
        <v>-216.60389615593277</v>
      </c>
      <c r="N105" s="183"/>
      <c r="O105" s="183">
        <f>AC107</f>
        <v>9.137384381199443</v>
      </c>
      <c r="P105" s="184" t="s">
        <v>4</v>
      </c>
      <c r="Q105" t="s">
        <v>307</v>
      </c>
    </row>
    <row r="106" spans="1:29" ht="12.75" thickTop="1">
      <c r="A106" s="102" t="s">
        <v>93</v>
      </c>
      <c r="G106" s="84"/>
      <c r="H106" s="86"/>
      <c r="I106" s="86"/>
      <c r="J106" s="86"/>
      <c r="K106" s="86"/>
      <c r="L106" s="86"/>
      <c r="M106" s="86"/>
      <c r="N106" s="86"/>
      <c r="O106" s="86"/>
      <c r="P106" s="87"/>
      <c r="Q106" s="204" t="s">
        <v>194</v>
      </c>
      <c r="R106" s="204" t="s">
        <v>195</v>
      </c>
      <c r="S106" s="204" t="s">
        <v>196</v>
      </c>
      <c r="T106" s="204" t="s">
        <v>197</v>
      </c>
      <c r="U106" s="248">
        <f>SQRT(SUMSQ(Q107,R107))</f>
        <v>107.42969794242187</v>
      </c>
      <c r="V106" s="248">
        <f>SQRT(SUMSQ(S107,T107))</f>
        <v>129.3392438511993</v>
      </c>
      <c r="W106" s="248">
        <f>SQRT(PRODUCT(U106,V106))</f>
        <v>117.8765281938503</v>
      </c>
      <c r="X106" s="249"/>
      <c r="Y106" s="249"/>
      <c r="Z106" s="204" t="s">
        <v>209</v>
      </c>
      <c r="AA106" s="204" t="s">
        <v>210</v>
      </c>
      <c r="AB106" s="204" t="s">
        <v>208</v>
      </c>
      <c r="AC106" s="204" t="s">
        <v>211</v>
      </c>
    </row>
    <row r="107" spans="1:29" ht="12.75" thickBot="1">
      <c r="A107" s="1" t="s">
        <v>100</v>
      </c>
      <c r="G107" s="263" t="s">
        <v>221</v>
      </c>
      <c r="H107" s="261"/>
      <c r="I107" s="261"/>
      <c r="J107" s="261"/>
      <c r="K107" s="261"/>
      <c r="L107" s="261"/>
      <c r="M107" s="261"/>
      <c r="N107" s="261"/>
      <c r="O107" s="261"/>
      <c r="P107" s="262"/>
      <c r="Q107">
        <f>SUM(E71-C13)</f>
        <v>-106.7</v>
      </c>
      <c r="R107">
        <f>SUM(E73-C15)</f>
        <v>12.5</v>
      </c>
      <c r="S107">
        <f>SUM(E71-F13)</f>
        <v>-129.2</v>
      </c>
      <c r="T107">
        <f>SUM(E73-F15)</f>
        <v>-6</v>
      </c>
      <c r="U107" s="30">
        <f>DEGREES(ATAN2(Q107,R107))</f>
        <v>173.31820506371216</v>
      </c>
      <c r="V107" s="30">
        <f>DEGREES(ATAN2(S107,T107))</f>
        <v>-177.34111560575658</v>
      </c>
      <c r="W107" s="30">
        <f>PRODUCT(SUM(U107,V107),0.5)</f>
        <v>-2.011455271022214</v>
      </c>
      <c r="X107" s="30">
        <f>PRODUCT(W106,COS(RADIANS(W107)))</f>
        <v>117.80389615593278</v>
      </c>
      <c r="Y107" s="30">
        <f>PRODUCT(W106,SIN(RADIANS(W107)))</f>
        <v>-4.137384381199443</v>
      </c>
      <c r="Z107" s="30">
        <f>SUM(-E71,X107)</f>
        <v>19.00389615593278</v>
      </c>
      <c r="AA107" s="30">
        <f>SUM(-E73,Y107)</f>
        <v>0.8626156188005574</v>
      </c>
      <c r="AB107" s="30">
        <f>SUM(-E71,-X107)</f>
        <v>-216.60389615593277</v>
      </c>
      <c r="AC107" s="30">
        <f>SUM(-E73,-Y107)</f>
        <v>9.137384381199443</v>
      </c>
    </row>
    <row r="108" spans="1:29" ht="14.25" thickBot="1" thickTop="1">
      <c r="A108" s="1" t="s">
        <v>101</v>
      </c>
      <c r="G108" s="120"/>
      <c r="H108" s="120"/>
      <c r="I108" s="237"/>
      <c r="J108" s="238"/>
      <c r="K108" s="238"/>
      <c r="L108" s="238"/>
      <c r="M108" s="239"/>
      <c r="N108" s="120"/>
      <c r="O108" s="120"/>
      <c r="P108" s="120"/>
      <c r="Q108" s="259"/>
      <c r="R108" s="260"/>
      <c r="S108" s="260"/>
      <c r="T108" s="260"/>
      <c r="U108" s="260"/>
      <c r="V108" s="260"/>
      <c r="W108" s="260"/>
      <c r="X108" s="260"/>
      <c r="Y108" s="260"/>
      <c r="Z108" s="260"/>
      <c r="AA108" s="260"/>
      <c r="AB108" s="260"/>
      <c r="AC108" s="260"/>
    </row>
    <row r="109" spans="1:16" ht="15.75" thickTop="1">
      <c r="A109" s="1" t="s">
        <v>102</v>
      </c>
      <c r="G109" s="120"/>
      <c r="H109" s="120"/>
      <c r="I109" s="246" t="s">
        <v>266</v>
      </c>
      <c r="J109" s="244"/>
      <c r="K109" s="244"/>
      <c r="L109" s="244"/>
      <c r="M109" s="245"/>
      <c r="N109" s="120"/>
      <c r="O109" s="120"/>
      <c r="P109" s="120"/>
    </row>
    <row r="110" spans="1:20" ht="12.75" thickBot="1">
      <c r="A110" s="1" t="s">
        <v>111</v>
      </c>
      <c r="G110" s="120"/>
      <c r="H110" s="120"/>
      <c r="I110" s="243"/>
      <c r="J110" s="244"/>
      <c r="K110" s="244"/>
      <c r="L110" s="244"/>
      <c r="M110" s="245"/>
      <c r="N110" s="120"/>
      <c r="O110" s="120"/>
      <c r="P110" s="120"/>
      <c r="Q110" s="268" t="s">
        <v>414</v>
      </c>
      <c r="R110" s="269"/>
      <c r="S110" s="269"/>
      <c r="T110" s="269"/>
    </row>
    <row r="111" spans="1:26" ht="14.25" thickBot="1" thickTop="1">
      <c r="A111" s="1"/>
      <c r="G111" s="197" t="s">
        <v>156</v>
      </c>
      <c r="H111" s="191"/>
      <c r="I111" s="191"/>
      <c r="J111" s="191"/>
      <c r="K111" s="191"/>
      <c r="L111" s="191"/>
      <c r="M111" s="191"/>
      <c r="N111" s="191"/>
      <c r="O111" s="191"/>
      <c r="P111" s="137"/>
      <c r="Q111" s="3" t="s">
        <v>291</v>
      </c>
      <c r="W111" s="165" t="s">
        <v>142</v>
      </c>
      <c r="X111" s="166"/>
      <c r="Y111" s="158" t="s">
        <v>332</v>
      </c>
      <c r="Z111" s="159"/>
    </row>
    <row r="112" spans="2:26" ht="14.25" thickBot="1" thickTop="1">
      <c r="B112" s="115"/>
      <c r="C112" s="116" t="s">
        <v>103</v>
      </c>
      <c r="D112" s="54"/>
      <c r="G112" s="198" t="s">
        <v>157</v>
      </c>
      <c r="H112" s="171"/>
      <c r="I112" s="196"/>
      <c r="J112" s="190"/>
      <c r="K112" s="190"/>
      <c r="L112" s="190"/>
      <c r="M112" s="190"/>
      <c r="N112" s="190"/>
      <c r="O112" s="190"/>
      <c r="P112" s="192"/>
      <c r="Q112" s="3" t="s">
        <v>324</v>
      </c>
      <c r="W112" s="169" t="s">
        <v>336</v>
      </c>
      <c r="X112" s="167"/>
      <c r="Y112" s="161" t="s">
        <v>138</v>
      </c>
      <c r="Z112" s="162" t="s">
        <v>138</v>
      </c>
    </row>
    <row r="113" spans="1:26" ht="14.25" thickBot="1" thickTop="1">
      <c r="A113" s="52"/>
      <c r="B113" s="118" t="s">
        <v>104</v>
      </c>
      <c r="C113" s="116"/>
      <c r="D113" s="53"/>
      <c r="E113" s="53"/>
      <c r="F113" s="53"/>
      <c r="G113" s="140"/>
      <c r="H113" s="141" t="s">
        <v>140</v>
      </c>
      <c r="I113" s="142"/>
      <c r="J113" s="143"/>
      <c r="K113" s="143"/>
      <c r="L113" s="143"/>
      <c r="M113" s="143"/>
      <c r="N113" s="143"/>
      <c r="O113" s="144"/>
      <c r="P113" s="87"/>
      <c r="Q113" t="s">
        <v>438</v>
      </c>
      <c r="R113" t="s">
        <v>349</v>
      </c>
      <c r="T113" t="s">
        <v>350</v>
      </c>
      <c r="U113" t="s">
        <v>356</v>
      </c>
      <c r="V113" t="s">
        <v>355</v>
      </c>
      <c r="W113" s="160" t="s">
        <v>143</v>
      </c>
      <c r="X113" s="168" t="s">
        <v>9</v>
      </c>
      <c r="Y113" s="163" t="s">
        <v>333</v>
      </c>
      <c r="Z113" s="164" t="s">
        <v>334</v>
      </c>
    </row>
    <row r="114" spans="1:26" ht="13.5" thickTop="1">
      <c r="A114" s="55"/>
      <c r="B114" s="9"/>
      <c r="C114" s="114"/>
      <c r="D114" s="82"/>
      <c r="E114" s="82"/>
      <c r="F114" s="82"/>
      <c r="G114" s="84"/>
      <c r="H114" s="86"/>
      <c r="I114" s="86"/>
      <c r="J114" s="86"/>
      <c r="K114" s="86"/>
      <c r="L114" s="86"/>
      <c r="M114" s="86"/>
      <c r="N114" s="86"/>
      <c r="O114" s="86"/>
      <c r="P114" s="87"/>
      <c r="Q114" s="146" t="s">
        <v>267</v>
      </c>
      <c r="R114" s="71">
        <f>R122*COS(RADIANS(S122))</f>
        <v>10.85058983139686</v>
      </c>
      <c r="S114" s="72"/>
      <c r="T114" s="73">
        <f>R122*SIN(RADIANS(S122))</f>
        <v>36.03214259087591</v>
      </c>
      <c r="U114" s="30">
        <f>D13-B39</f>
        <v>-6.900000000000006</v>
      </c>
      <c r="V114" s="30">
        <f>D15-B41</f>
        <v>4.699999999999999</v>
      </c>
      <c r="W114" s="30">
        <f>SQRT(SUMSQ(U114,V114))</f>
        <v>8.348652585896724</v>
      </c>
      <c r="X114" s="65">
        <f>DEGREES(ATAN2(U114,V114))</f>
        <v>145.73889710090546</v>
      </c>
      <c r="Y114" s="30">
        <f>SQRT(SUMSQ(B13,B15))</f>
        <v>169.61426826773743</v>
      </c>
      <c r="Z114" s="65">
        <f>DEGREES(ATAN2(B13,B15))</f>
        <v>0.7431818730541038</v>
      </c>
    </row>
    <row r="115" spans="1:26" ht="12.75">
      <c r="A115" s="55"/>
      <c r="B115" s="60" t="s">
        <v>80</v>
      </c>
      <c r="C115" s="60" t="s">
        <v>84</v>
      </c>
      <c r="D115" s="60" t="s">
        <v>85</v>
      </c>
      <c r="E115" s="60" t="s">
        <v>86</v>
      </c>
      <c r="F115" s="61" t="s">
        <v>87</v>
      </c>
      <c r="G115" s="89"/>
      <c r="H115" s="189" t="s">
        <v>148</v>
      </c>
      <c r="I115" s="190"/>
      <c r="J115" s="190"/>
      <c r="K115" s="190"/>
      <c r="L115" s="190"/>
      <c r="M115" s="190"/>
      <c r="N115" s="190"/>
      <c r="O115" s="190"/>
      <c r="P115" s="87"/>
      <c r="Q115" s="147" t="s">
        <v>270</v>
      </c>
      <c r="R115" s="68">
        <f>R123*COS(RADIANS(S123))</f>
        <v>42.18475554175131</v>
      </c>
      <c r="S115" s="70"/>
      <c r="T115" s="74">
        <f>R123*SIN(RADIANS(S123))</f>
        <v>-47.37197061678261</v>
      </c>
      <c r="U115" s="30">
        <f>D13-C39</f>
        <v>-0.5999999999999943</v>
      </c>
      <c r="V115" s="30">
        <f>D15-C41</f>
        <v>-19.5</v>
      </c>
      <c r="W115" s="30">
        <f>SQRT(SUMSQ(U115,V115))</f>
        <v>19.509228585466932</v>
      </c>
      <c r="X115" s="30">
        <f>DEGREES(ATAN2(U115,V115))</f>
        <v>-91.7623910236605</v>
      </c>
      <c r="Y115" s="30">
        <f>SQRT(SUMSQ(C13,C15))</f>
        <v>206.24378778523246</v>
      </c>
      <c r="Z115" s="30">
        <f>DEGREES(ATAN2(C13,C15))</f>
        <v>-4.867459176387376</v>
      </c>
    </row>
    <row r="116" spans="1:26" ht="13.5" thickBot="1">
      <c r="A116" s="55"/>
      <c r="B116" s="66" t="s">
        <v>106</v>
      </c>
      <c r="C116" s="66" t="s">
        <v>107</v>
      </c>
      <c r="D116" s="66" t="s">
        <v>108</v>
      </c>
      <c r="E116" s="66" t="s">
        <v>109</v>
      </c>
      <c r="F116" s="67" t="s">
        <v>110</v>
      </c>
      <c r="G116" s="89"/>
      <c r="H116" s="85"/>
      <c r="I116" s="86"/>
      <c r="J116" s="86"/>
      <c r="K116" s="86"/>
      <c r="L116" s="86"/>
      <c r="M116" s="86"/>
      <c r="N116" s="86"/>
      <c r="O116" s="86"/>
      <c r="P116" s="87"/>
      <c r="Q116" s="147" t="s">
        <v>268</v>
      </c>
      <c r="R116" s="68">
        <f>R124*COS(RADIANS(S124))</f>
        <v>52.54585266231096</v>
      </c>
      <c r="S116" s="69"/>
      <c r="T116" s="74">
        <f>R124*SIN(RADIANS(S124))</f>
        <v>-34.83728795427815</v>
      </c>
      <c r="U116" s="30">
        <f>D13-D39</f>
        <v>11.099999999999994</v>
      </c>
      <c r="V116" s="30">
        <f>D15-D41</f>
        <v>-20.700000000000003</v>
      </c>
      <c r="W116" s="30">
        <f>SQRT(SUMSQ(U116,V116))</f>
        <v>23.48829495727606</v>
      </c>
      <c r="X116" s="65">
        <f>DEGREES(ATAN2(U116,V116))</f>
        <v>-61.79837178130531</v>
      </c>
      <c r="Y116" s="30">
        <f>SQRT(SUMSQ(E13,E15))</f>
        <v>169.22059567322177</v>
      </c>
      <c r="Z116" s="65">
        <f>DEGREES(ATAN2(E13,E15))</f>
        <v>-5.289456864306534</v>
      </c>
    </row>
    <row r="117" spans="1:26" ht="16.5" thickBot="1" thickTop="1">
      <c r="A117" s="117" t="s">
        <v>14</v>
      </c>
      <c r="B117" s="326">
        <v>0</v>
      </c>
      <c r="C117" s="326">
        <v>0</v>
      </c>
      <c r="D117" s="326">
        <v>0.6</v>
      </c>
      <c r="E117" s="326">
        <v>1</v>
      </c>
      <c r="F117" s="326">
        <v>0.5</v>
      </c>
      <c r="G117" s="90" t="s">
        <v>267</v>
      </c>
      <c r="H117" s="131">
        <f>R114</f>
        <v>10.85058983139686</v>
      </c>
      <c r="I117" s="154" t="str">
        <f>IF(T114&gt;0,"+","-")</f>
        <v>+</v>
      </c>
      <c r="J117" s="132">
        <f>ABS(T114)</f>
        <v>36.03214259087591</v>
      </c>
      <c r="K117" s="133" t="s">
        <v>4</v>
      </c>
      <c r="L117" s="91" t="s">
        <v>270</v>
      </c>
      <c r="M117" s="134">
        <f>R115</f>
        <v>42.18475554175131</v>
      </c>
      <c r="N117" s="154" t="str">
        <f>IF(T115&gt;0,"+","-")</f>
        <v>-</v>
      </c>
      <c r="O117" s="135">
        <f>ABS(T115)</f>
        <v>47.37197061678261</v>
      </c>
      <c r="P117" s="133" t="s">
        <v>4</v>
      </c>
      <c r="Q117" s="148" t="s">
        <v>269</v>
      </c>
      <c r="R117" s="75">
        <f>R125*COS(RADIANS(S125))</f>
        <v>16.918141515583358</v>
      </c>
      <c r="S117" s="76"/>
      <c r="T117" s="77">
        <f>R125*SIN(RADIANS(S125))</f>
        <v>14.833189553879134</v>
      </c>
      <c r="U117" s="30">
        <f>D13-E39</f>
        <v>0.29999999999998295</v>
      </c>
      <c r="V117" s="30">
        <f>D15-E41</f>
        <v>2.1999999999999993</v>
      </c>
      <c r="W117" s="30">
        <f>SQRT(SUMSQ(U117,V117))</f>
        <v>2.220360331117449</v>
      </c>
      <c r="X117" s="30">
        <f>DEGREES(ATAN2(U117,V117))</f>
        <v>82.23483398157511</v>
      </c>
      <c r="Y117" s="30">
        <f>SQRT(SUMSQ(F13,F15))</f>
        <v>228.0021929719098</v>
      </c>
      <c r="Z117" s="30">
        <f>DEGREES(ATAN2(F13,F15))</f>
        <v>0.25129566720895</v>
      </c>
    </row>
    <row r="118" spans="1:20" ht="13.5" thickBot="1" thickTop="1">
      <c r="A118" s="55"/>
      <c r="B118" s="47"/>
      <c r="C118" s="47"/>
      <c r="D118" s="47"/>
      <c r="E118" s="47"/>
      <c r="F118" s="47"/>
      <c r="G118" s="93"/>
      <c r="H118" s="94"/>
      <c r="I118" s="95"/>
      <c r="J118" s="95"/>
      <c r="K118" s="95"/>
      <c r="L118" s="96"/>
      <c r="M118" s="95"/>
      <c r="N118" s="97"/>
      <c r="O118" s="86"/>
      <c r="P118" s="87"/>
      <c r="Q118" s="127" t="s">
        <v>150</v>
      </c>
      <c r="R118" s="136"/>
      <c r="S118" s="191"/>
      <c r="T118" s="106"/>
    </row>
    <row r="119" spans="1:20" ht="16.5" thickBot="1" thickTop="1">
      <c r="A119" s="117" t="s">
        <v>105</v>
      </c>
      <c r="B119" s="327">
        <v>0</v>
      </c>
      <c r="C119" s="327">
        <v>0</v>
      </c>
      <c r="D119" s="327">
        <v>140</v>
      </c>
      <c r="E119" s="327">
        <v>0</v>
      </c>
      <c r="F119" s="327">
        <v>-140</v>
      </c>
      <c r="G119" s="90" t="s">
        <v>268</v>
      </c>
      <c r="H119" s="131">
        <f>R116</f>
        <v>52.54585266231096</v>
      </c>
      <c r="I119" s="155" t="str">
        <f>IF(T116&gt;0,"+","-")</f>
        <v>-</v>
      </c>
      <c r="J119" s="135">
        <f>ABS(T116)</f>
        <v>34.83728795427815</v>
      </c>
      <c r="K119" s="133" t="s">
        <v>4</v>
      </c>
      <c r="L119" s="91" t="s">
        <v>269</v>
      </c>
      <c r="M119" s="134">
        <f>R117</f>
        <v>16.918141515583358</v>
      </c>
      <c r="N119" s="155" t="str">
        <f>IF(T117&gt;0,"+","-")</f>
        <v>+</v>
      </c>
      <c r="O119" s="135">
        <f>ABS(T117)</f>
        <v>14.833189553879134</v>
      </c>
      <c r="P119" s="133" t="s">
        <v>4</v>
      </c>
      <c r="Q119" s="145" t="s">
        <v>151</v>
      </c>
      <c r="R119" s="128"/>
      <c r="S119" s="105"/>
      <c r="T119" s="192"/>
    </row>
    <row r="120" spans="1:20" ht="13.5" thickTop="1">
      <c r="A120" s="55"/>
      <c r="B120" s="47"/>
      <c r="C120" s="47"/>
      <c r="D120" s="47"/>
      <c r="E120" s="47"/>
      <c r="F120" s="56"/>
      <c r="G120" s="84"/>
      <c r="H120" s="86"/>
      <c r="I120" s="86"/>
      <c r="J120" s="86"/>
      <c r="K120" s="86"/>
      <c r="L120" s="86"/>
      <c r="M120" s="157"/>
      <c r="N120" s="86"/>
      <c r="O120" s="86"/>
      <c r="P120" s="87"/>
      <c r="Q120" t="s">
        <v>3</v>
      </c>
      <c r="R120" s="138" t="s">
        <v>14</v>
      </c>
      <c r="S120" s="195" t="s">
        <v>146</v>
      </c>
      <c r="T120" s="172" t="s">
        <v>147</v>
      </c>
    </row>
    <row r="121" spans="1:20" ht="13.5" thickBot="1">
      <c r="A121" s="55"/>
      <c r="B121" s="47"/>
      <c r="C121" s="47"/>
      <c r="D121" s="47"/>
      <c r="E121" s="47"/>
      <c r="F121" s="56"/>
      <c r="G121" s="84"/>
      <c r="H121" s="186" t="s">
        <v>149</v>
      </c>
      <c r="I121" s="187"/>
      <c r="J121" s="187"/>
      <c r="K121" s="187"/>
      <c r="L121" s="187"/>
      <c r="M121" s="188"/>
      <c r="N121" s="187"/>
      <c r="O121" s="187"/>
      <c r="P121" s="156"/>
      <c r="R121" s="139" t="s">
        <v>344</v>
      </c>
      <c r="S121" s="193" t="s">
        <v>343</v>
      </c>
      <c r="T121" s="194"/>
    </row>
    <row r="122" spans="1:20" ht="14.25" thickBot="1" thickTop="1">
      <c r="A122" s="119"/>
      <c r="B122" s="119"/>
      <c r="C122" s="119"/>
      <c r="D122" s="119"/>
      <c r="E122" s="119"/>
      <c r="F122" s="119"/>
      <c r="G122" s="84"/>
      <c r="H122" s="86"/>
      <c r="I122" s="86"/>
      <c r="J122" s="86"/>
      <c r="K122" s="86"/>
      <c r="L122" s="86"/>
      <c r="M122" s="157"/>
      <c r="N122" s="86"/>
      <c r="O122" s="86"/>
      <c r="P122" s="156"/>
      <c r="Q122" s="129" t="s">
        <v>267</v>
      </c>
      <c r="R122" s="173">
        <f>SQRT(PRODUCT(Y114,W114))</f>
        <v>37.63044777010269</v>
      </c>
      <c r="S122" s="175">
        <f>PRODUCT(SUM(X114,Z114),0.5)</f>
        <v>73.24103948697979</v>
      </c>
      <c r="T122" s="316">
        <f>SUM(S122,-180)</f>
        <v>-106.75896051302021</v>
      </c>
    </row>
    <row r="123" spans="1:20" ht="14.25" thickBot="1" thickTop="1">
      <c r="A123" s="120"/>
      <c r="B123" s="252" t="s">
        <v>254</v>
      </c>
      <c r="C123" s="253"/>
      <c r="D123" s="254"/>
      <c r="E123" s="120"/>
      <c r="F123" s="120"/>
      <c r="G123" s="180" t="s">
        <v>267</v>
      </c>
      <c r="H123" s="182">
        <f>PRODUCT(R114,-1)</f>
        <v>-10.85058983139686</v>
      </c>
      <c r="I123" s="183"/>
      <c r="J123" s="183">
        <f>PRODUCT(T114,-1)</f>
        <v>-36.03214259087591</v>
      </c>
      <c r="K123" s="184" t="s">
        <v>4</v>
      </c>
      <c r="L123" s="181" t="s">
        <v>270</v>
      </c>
      <c r="M123" s="185">
        <f>PRODUCT(R115,-1)</f>
        <v>-42.18475554175131</v>
      </c>
      <c r="N123" s="183"/>
      <c r="O123" s="183">
        <f>PRODUCT(T115,-1)</f>
        <v>47.37197061678261</v>
      </c>
      <c r="P123" s="184" t="s">
        <v>4</v>
      </c>
      <c r="Q123" s="125" t="s">
        <v>270</v>
      </c>
      <c r="R123" s="123">
        <f>SQRT(PRODUCT(Y115,W115))</f>
        <v>63.432304074774336</v>
      </c>
      <c r="S123" s="176">
        <f>PRODUCT(SUM(X115,Z115),0.5)</f>
        <v>-48.314925100023935</v>
      </c>
      <c r="T123" s="174">
        <f>SUM(S123,-180)</f>
        <v>-228.31492510002394</v>
      </c>
    </row>
    <row r="124" spans="1:20" ht="14.25" thickBot="1" thickTop="1">
      <c r="A124" s="120"/>
      <c r="B124" s="120"/>
      <c r="C124" s="120"/>
      <c r="D124" s="120"/>
      <c r="E124" s="120"/>
      <c r="F124" s="120"/>
      <c r="G124" s="140"/>
      <c r="H124" s="98"/>
      <c r="I124" s="98"/>
      <c r="J124" s="98"/>
      <c r="K124" s="98"/>
      <c r="L124" s="98"/>
      <c r="M124" s="98"/>
      <c r="N124" s="98"/>
      <c r="O124" s="98"/>
      <c r="P124" s="87"/>
      <c r="Q124" s="130" t="s">
        <v>268</v>
      </c>
      <c r="R124" s="123">
        <f>SQRT(PRODUCT(Y116,W116))</f>
        <v>63.0452477512666</v>
      </c>
      <c r="S124" s="176">
        <f>PRODUCT(SUM(X116,Z116),0.5)</f>
        <v>-33.543914322805925</v>
      </c>
      <c r="T124" s="174">
        <f>SUM(S124,-180)</f>
        <v>-213.54391432280593</v>
      </c>
    </row>
    <row r="125" spans="1:20" ht="14.25" thickBot="1" thickTop="1">
      <c r="A125" s="227" t="s">
        <v>251</v>
      </c>
      <c r="B125" s="210"/>
      <c r="C125" s="210"/>
      <c r="D125" s="210"/>
      <c r="E125" s="211"/>
      <c r="F125" s="212"/>
      <c r="G125" s="180" t="s">
        <v>268</v>
      </c>
      <c r="H125" s="182">
        <f>PRODUCT(R116,-1)</f>
        <v>-52.54585266231096</v>
      </c>
      <c r="I125" s="183"/>
      <c r="J125" s="183">
        <f>PRODUCT(T116,-1)</f>
        <v>34.83728795427815</v>
      </c>
      <c r="K125" s="184" t="s">
        <v>4</v>
      </c>
      <c r="L125" s="181" t="s">
        <v>269</v>
      </c>
      <c r="M125" s="182">
        <f>PRODUCT(R117,-1)</f>
        <v>-16.918141515583358</v>
      </c>
      <c r="N125" s="183"/>
      <c r="O125" s="183">
        <f>PRODUCT(T117,-1)</f>
        <v>-14.833189553879134</v>
      </c>
      <c r="P125" s="184" t="s">
        <v>4</v>
      </c>
      <c r="Q125" s="126" t="s">
        <v>269</v>
      </c>
      <c r="R125" s="124">
        <f>SQRT(PRODUCT(Y117,W117))</f>
        <v>22.499933881738723</v>
      </c>
      <c r="S125" s="177">
        <f>PRODUCT(SUM(X117,Z117),0.5)</f>
        <v>41.24306482439203</v>
      </c>
      <c r="T125" s="174">
        <f>SUM(S125,-180)</f>
        <v>-138.75693517560796</v>
      </c>
    </row>
    <row r="126" spans="1:16" ht="13.5" thickBot="1">
      <c r="A126" s="227" t="s">
        <v>252</v>
      </c>
      <c r="B126" s="210"/>
      <c r="C126" s="226"/>
      <c r="D126" s="210"/>
      <c r="E126" s="211"/>
      <c r="F126" s="212"/>
      <c r="G126" s="180"/>
      <c r="H126" s="92"/>
      <c r="I126" s="92"/>
      <c r="J126" s="92"/>
      <c r="K126" s="98"/>
      <c r="L126" s="181"/>
      <c r="M126" s="92"/>
      <c r="N126" s="92"/>
      <c r="O126" s="92"/>
      <c r="P126" s="156"/>
    </row>
    <row r="127" spans="1:16" ht="12.75" thickBot="1">
      <c r="A127" s="227" t="s">
        <v>253</v>
      </c>
      <c r="B127" s="211"/>
      <c r="C127" s="213"/>
      <c r="D127" s="213"/>
      <c r="E127" s="213"/>
      <c r="F127" s="212"/>
      <c r="G127" s="84" t="s">
        <v>221</v>
      </c>
      <c r="H127" s="86"/>
      <c r="I127" s="86"/>
      <c r="J127" s="86"/>
      <c r="K127" s="86"/>
      <c r="L127" s="86"/>
      <c r="M127" s="86"/>
      <c r="N127" s="86"/>
      <c r="O127" s="86"/>
      <c r="P127" s="87"/>
    </row>
    <row r="128" spans="1:20" ht="14.25" thickBot="1" thickTop="1">
      <c r="A128" s="214" t="s">
        <v>237</v>
      </c>
      <c r="B128" s="215"/>
      <c r="C128" s="290">
        <v>70.2</v>
      </c>
      <c r="D128" s="214" t="s">
        <v>238</v>
      </c>
      <c r="E128" s="215"/>
      <c r="F128" s="290">
        <v>-46.3</v>
      </c>
      <c r="G128" s="197" t="s">
        <v>156</v>
      </c>
      <c r="H128" s="191"/>
      <c r="I128" s="191"/>
      <c r="J128" s="191"/>
      <c r="K128" s="191"/>
      <c r="L128" s="191"/>
      <c r="M128" s="191"/>
      <c r="N128" s="191"/>
      <c r="O128" s="191"/>
      <c r="P128" s="137"/>
      <c r="Q128" s="270" t="s">
        <v>415</v>
      </c>
      <c r="R128" s="271"/>
      <c r="S128" s="271"/>
      <c r="T128" s="271"/>
    </row>
    <row r="129" spans="1:16" ht="13.5" thickBot="1">
      <c r="A129" s="214" t="s">
        <v>239</v>
      </c>
      <c r="B129" s="215"/>
      <c r="C129" s="290">
        <v>-2.7</v>
      </c>
      <c r="D129" s="214" t="s">
        <v>242</v>
      </c>
      <c r="E129" s="215"/>
      <c r="F129" s="290">
        <v>-25</v>
      </c>
      <c r="G129" s="198" t="s">
        <v>158</v>
      </c>
      <c r="H129" s="171"/>
      <c r="I129" s="196"/>
      <c r="J129" s="190"/>
      <c r="K129" s="190"/>
      <c r="L129" s="190"/>
      <c r="M129" s="190"/>
      <c r="N129" s="190"/>
      <c r="O129" s="190"/>
      <c r="P129" s="192"/>
    </row>
    <row r="130" spans="1:17" ht="13.5" thickBot="1">
      <c r="A130" s="214" t="s">
        <v>240</v>
      </c>
      <c r="B130" s="215"/>
      <c r="C130" s="290">
        <v>-8.5</v>
      </c>
      <c r="D130" s="214" t="s">
        <v>243</v>
      </c>
      <c r="E130" s="215"/>
      <c r="F130" s="290">
        <v>2.4</v>
      </c>
      <c r="G130" s="140"/>
      <c r="H130" s="141" t="s">
        <v>140</v>
      </c>
      <c r="I130" s="142"/>
      <c r="J130" s="143"/>
      <c r="K130" s="143"/>
      <c r="L130" s="143"/>
      <c r="M130" s="143"/>
      <c r="N130" s="143"/>
      <c r="O130" s="144"/>
      <c r="P130" s="87"/>
      <c r="Q130" s="235" t="s">
        <v>193</v>
      </c>
    </row>
    <row r="131" spans="1:16" ht="13.5" thickBot="1">
      <c r="A131" s="214" t="s">
        <v>241</v>
      </c>
      <c r="B131" s="215"/>
      <c r="C131" s="290">
        <v>3.2</v>
      </c>
      <c r="D131" s="214" t="s">
        <v>244</v>
      </c>
      <c r="E131" s="215"/>
      <c r="F131" s="290">
        <v>7.9</v>
      </c>
      <c r="G131" s="140"/>
      <c r="H131" s="207"/>
      <c r="I131" s="207"/>
      <c r="J131" s="208"/>
      <c r="K131" s="208"/>
      <c r="L131" s="208"/>
      <c r="M131" s="208"/>
      <c r="N131" s="208"/>
      <c r="O131" s="208"/>
      <c r="P131" s="87"/>
    </row>
    <row r="132" spans="7:24" ht="12.75">
      <c r="G132" s="89"/>
      <c r="H132" s="189" t="s">
        <v>212</v>
      </c>
      <c r="I132" s="190"/>
      <c r="J132" s="190"/>
      <c r="K132" s="190"/>
      <c r="L132" s="190"/>
      <c r="M132" s="190"/>
      <c r="N132" s="190"/>
      <c r="O132" s="190"/>
      <c r="P132" s="87"/>
      <c r="Q132" t="s">
        <v>295</v>
      </c>
      <c r="U132" t="s">
        <v>198</v>
      </c>
      <c r="W132" t="s">
        <v>53</v>
      </c>
      <c r="X132" t="s">
        <v>204</v>
      </c>
    </row>
    <row r="133" spans="1:28" ht="13.5" thickBot="1">
      <c r="A133" s="99"/>
      <c r="B133" s="86"/>
      <c r="C133" s="251"/>
      <c r="D133" s="251"/>
      <c r="E133" s="99"/>
      <c r="F133" s="99"/>
      <c r="G133" s="89"/>
      <c r="H133" s="85"/>
      <c r="I133" s="86"/>
      <c r="J133" s="86"/>
      <c r="K133" s="86"/>
      <c r="L133" s="86"/>
      <c r="M133" s="86"/>
      <c r="N133" s="86"/>
      <c r="O133" s="86"/>
      <c r="P133" s="87"/>
      <c r="Q133" s="203" t="s">
        <v>234</v>
      </c>
      <c r="R133" s="203"/>
      <c r="S133" s="203" t="s">
        <v>235</v>
      </c>
      <c r="T133" s="203"/>
      <c r="U133" s="203" t="s">
        <v>202</v>
      </c>
      <c r="V133" s="203" t="s">
        <v>203</v>
      </c>
      <c r="W133" s="41" t="s">
        <v>200</v>
      </c>
      <c r="X133" s="203" t="s">
        <v>205</v>
      </c>
      <c r="Y133" s="203" t="s">
        <v>206</v>
      </c>
      <c r="Z133" s="247" t="s">
        <v>207</v>
      </c>
      <c r="AA133" s="41"/>
      <c r="AB133" s="204" t="s">
        <v>299</v>
      </c>
    </row>
    <row r="134" spans="1:29" ht="16.5" thickBot="1" thickTop="1">
      <c r="A134" s="209" t="s">
        <v>236</v>
      </c>
      <c r="B134" s="99"/>
      <c r="C134" s="99"/>
      <c r="D134" s="99"/>
      <c r="E134" s="99"/>
      <c r="F134" s="99"/>
      <c r="G134" s="180" t="s">
        <v>271</v>
      </c>
      <c r="H134" s="131">
        <f>Z135</f>
        <v>-189.67152640942624</v>
      </c>
      <c r="I134" s="154"/>
      <c r="J134" s="132">
        <f>AA135</f>
        <v>3.553611918683174</v>
      </c>
      <c r="K134" s="133" t="s">
        <v>4</v>
      </c>
      <c r="L134" s="180" t="s">
        <v>274</v>
      </c>
      <c r="M134" s="134">
        <f>Z138</f>
        <v>-209.46430190871973</v>
      </c>
      <c r="N134" s="154"/>
      <c r="O134" s="135">
        <f>AA138</f>
        <v>15.482483774133229</v>
      </c>
      <c r="P134" s="133" t="s">
        <v>4</v>
      </c>
      <c r="Q134" s="203" t="s">
        <v>194</v>
      </c>
      <c r="R134" s="203" t="s">
        <v>195</v>
      </c>
      <c r="S134" s="203" t="s">
        <v>196</v>
      </c>
      <c r="T134" s="203" t="s">
        <v>197</v>
      </c>
      <c r="U134" s="30">
        <f>SQRT(SUMSQ(Q135,R135))</f>
        <v>120.25094594222533</v>
      </c>
      <c r="V134" s="30">
        <f>SQRT(SUMSQ(S135,T135))</f>
        <v>78.53305036734533</v>
      </c>
      <c r="W134" s="205">
        <f>SQRT(PRODUCT(U134,V134))</f>
        <v>97.17856550907563</v>
      </c>
      <c r="X134" t="s">
        <v>294</v>
      </c>
      <c r="Y134" t="s">
        <v>294</v>
      </c>
      <c r="Z134" s="41" t="s">
        <v>209</v>
      </c>
      <c r="AA134" s="41" t="s">
        <v>210</v>
      </c>
      <c r="AB134" s="41" t="s">
        <v>208</v>
      </c>
      <c r="AC134" s="41" t="s">
        <v>211</v>
      </c>
    </row>
    <row r="135" spans="1:29" ht="14.25" thickBot="1" thickTop="1">
      <c r="A135" s="99"/>
      <c r="B135" s="150" t="s">
        <v>120</v>
      </c>
      <c r="C135" s="221" t="s">
        <v>112</v>
      </c>
      <c r="D135" s="221" t="s">
        <v>113</v>
      </c>
      <c r="E135" s="221" t="s">
        <v>114</v>
      </c>
      <c r="F135" s="221" t="s">
        <v>115</v>
      </c>
      <c r="G135" s="93"/>
      <c r="H135" s="94"/>
      <c r="I135" s="95"/>
      <c r="J135" s="95"/>
      <c r="K135" s="95"/>
      <c r="L135" s="96"/>
      <c r="M135" s="95"/>
      <c r="N135" s="97"/>
      <c r="O135" s="86"/>
      <c r="P135" s="87"/>
      <c r="Q135" s="23">
        <f>SUM(B78-D13)</f>
        <v>-120.19999999999999</v>
      </c>
      <c r="R135">
        <f>SUM(B80-D15)</f>
        <v>-3.5</v>
      </c>
      <c r="S135">
        <f>SUM(B78-B13)</f>
        <v>-76.19999999999999</v>
      </c>
      <c r="T135">
        <f>SUM(B80-B15)</f>
        <v>-19</v>
      </c>
      <c r="U135" s="30">
        <f>DEGREES(ATAN2(Q135,R135))</f>
        <v>-178.33212494632468</v>
      </c>
      <c r="V135" s="30">
        <f>DEGREES(ATAN2(S135,T135))</f>
        <v>-165.99914613814317</v>
      </c>
      <c r="W135" s="30">
        <f>PRODUCT(SUM(U135,V135),0.5)</f>
        <v>-172.16563554223393</v>
      </c>
      <c r="X135" s="30">
        <f>PRODUCT(W134,COS(RADIANS(W135)))</f>
        <v>-96.27152640942623</v>
      </c>
      <c r="Y135" s="30">
        <f>PRODUCT(W134,SIN(RADIANS(W135)))</f>
        <v>-13.246388081316827</v>
      </c>
      <c r="Z135" s="30">
        <f>SUM(-B78,X135)</f>
        <v>-189.67152640942624</v>
      </c>
      <c r="AA135" s="30">
        <f>SUM(-B80,Y135)</f>
        <v>3.553611918683174</v>
      </c>
      <c r="AB135" s="30">
        <f>SUM(-B78,-X135)</f>
        <v>2.871526409426224</v>
      </c>
      <c r="AC135" s="30">
        <f>SUM(-B80,-Y135)</f>
        <v>30.046388081316827</v>
      </c>
    </row>
    <row r="136" spans="1:17" ht="16.5" thickBot="1" thickTop="1">
      <c r="A136" s="149" t="s">
        <v>133</v>
      </c>
      <c r="B136" s="150"/>
      <c r="C136" s="152" t="e">
        <f>C117/B117</f>
        <v>#DIV/0!</v>
      </c>
      <c r="D136" s="152" t="e">
        <f>D117/B117</f>
        <v>#DIV/0!</v>
      </c>
      <c r="E136" s="152" t="e">
        <f>E117/B117</f>
        <v>#DIV/0!</v>
      </c>
      <c r="F136" s="152" t="e">
        <f>F117/B117</f>
        <v>#DIV/0!</v>
      </c>
      <c r="G136" s="180" t="s">
        <v>272</v>
      </c>
      <c r="H136" s="131">
        <f>Z141</f>
        <v>-187.48092716097085</v>
      </c>
      <c r="I136" s="155"/>
      <c r="J136" s="135">
        <f>AA141</f>
        <v>14.065881299231597</v>
      </c>
      <c r="K136" s="133" t="s">
        <v>4</v>
      </c>
      <c r="L136" s="180" t="s">
        <v>273</v>
      </c>
      <c r="M136" s="134">
        <f>Z144</f>
        <v>21.377291616863033</v>
      </c>
      <c r="N136" s="155"/>
      <c r="O136" s="135">
        <f>AA144</f>
        <v>17.42591423401564</v>
      </c>
      <c r="P136" s="133" t="s">
        <v>4</v>
      </c>
      <c r="Q136" s="23" t="s">
        <v>296</v>
      </c>
    </row>
    <row r="137" spans="1:29" ht="13.5" thickTop="1">
      <c r="A137" s="149" t="s">
        <v>134</v>
      </c>
      <c r="B137" s="150" t="s">
        <v>135</v>
      </c>
      <c r="C137" s="228">
        <f>IF(B142&lt;0,B144,B143)</f>
        <v>0</v>
      </c>
      <c r="D137" s="228">
        <f>IF(C142&lt;0,C144,C143)</f>
        <v>140</v>
      </c>
      <c r="E137" s="228">
        <f>IF(D142&lt;0,D144,D143)</f>
        <v>0</v>
      </c>
      <c r="F137" s="228">
        <f>IF(E142&lt;0,E144,E143)</f>
        <v>-140</v>
      </c>
      <c r="G137" s="84"/>
      <c r="H137" s="86"/>
      <c r="I137" s="86"/>
      <c r="J137" s="86"/>
      <c r="K137" s="86"/>
      <c r="L137" s="86"/>
      <c r="M137" s="157"/>
      <c r="N137" s="86"/>
      <c r="O137" s="86"/>
      <c r="P137" s="87"/>
      <c r="Q137" s="203" t="s">
        <v>194</v>
      </c>
      <c r="R137" s="203" t="s">
        <v>195</v>
      </c>
      <c r="S137" s="203" t="s">
        <v>196</v>
      </c>
      <c r="T137" s="203" t="s">
        <v>197</v>
      </c>
      <c r="U137" s="30">
        <f>SQRT(SUMSQ(Q138,R138))</f>
        <v>91.92219536107697</v>
      </c>
      <c r="V137" s="30">
        <f>SQRT(SUMSQ(S138,T138))</f>
        <v>83.17367371951296</v>
      </c>
      <c r="W137" s="205">
        <f>SQRT(PRODUCT(U137,V137))</f>
        <v>87.43858807496576</v>
      </c>
      <c r="Z137" s="41" t="s">
        <v>209</v>
      </c>
      <c r="AA137" s="41" t="s">
        <v>210</v>
      </c>
      <c r="AB137" s="41" t="s">
        <v>208</v>
      </c>
      <c r="AC137" s="41" t="s">
        <v>211</v>
      </c>
    </row>
    <row r="138" spans="1:29" ht="12.75">
      <c r="A138" s="149" t="s">
        <v>139</v>
      </c>
      <c r="B138" s="150" t="s">
        <v>136</v>
      </c>
      <c r="C138" s="151" t="e">
        <f>PRODUCT(C136,SQRT(SUMSQ(C128,F128)))</f>
        <v>#DIV/0!</v>
      </c>
      <c r="D138" s="151" t="e">
        <f>PRODUCT(D136,SQRT(SUMSQ(C129,F129)))</f>
        <v>#DIV/0!</v>
      </c>
      <c r="E138" s="151" t="e">
        <f>PRODUCT(E136,SQRT(SUMSQ(C130,F130)))</f>
        <v>#DIV/0!</v>
      </c>
      <c r="F138" s="151" t="e">
        <f>PRODUCT(F136,SQRT(SUMSQ(C131,F131)))</f>
        <v>#DIV/0!</v>
      </c>
      <c r="G138" s="84"/>
      <c r="H138" s="186" t="s">
        <v>213</v>
      </c>
      <c r="I138" s="187"/>
      <c r="J138" s="187"/>
      <c r="K138" s="187"/>
      <c r="L138" s="187"/>
      <c r="M138" s="188"/>
      <c r="N138" s="187"/>
      <c r="O138" s="187"/>
      <c r="P138" s="156"/>
      <c r="Q138" s="23">
        <f>SUM(C78-D13)</f>
        <v>-90</v>
      </c>
      <c r="R138">
        <f>SUM(C80-D15)</f>
        <v>-18.7</v>
      </c>
      <c r="S138">
        <f>SUM(C78-C13)</f>
        <v>-81.9</v>
      </c>
      <c r="T138">
        <f>SUM(C80-C15)</f>
        <v>-14.5</v>
      </c>
      <c r="U138" s="30">
        <f>DEGREES(ATAN2(Q138,R138))</f>
        <v>-168.26222135372018</v>
      </c>
      <c r="V138" s="30">
        <f>DEGREES(ATAN2(S138,T138))</f>
        <v>-169.96009610128388</v>
      </c>
      <c r="W138" s="30">
        <f>PRODUCT(SUM(U138,V138),0.5)</f>
        <v>-169.11115872750202</v>
      </c>
      <c r="X138" s="30">
        <f>PRODUCT(W137,COS(RADIANS(W138)))</f>
        <v>-85.86430190871974</v>
      </c>
      <c r="Y138" s="30">
        <f>PRODUCT(W137,SIN(RADIANS(W138)))</f>
        <v>-16.51751622586677</v>
      </c>
      <c r="Z138" s="30">
        <f>SUM(-C78,X138)</f>
        <v>-209.46430190871973</v>
      </c>
      <c r="AA138" s="30">
        <f>SUM(-C80,Y138)</f>
        <v>15.482483774133229</v>
      </c>
      <c r="AB138" s="30">
        <f>SUM(-C78,-X138)</f>
        <v>-37.735698091280256</v>
      </c>
      <c r="AC138" s="30">
        <f>SUM(-C80,-Y138)</f>
        <v>48.51751622586677</v>
      </c>
    </row>
    <row r="139" spans="1:18" ht="13.5" thickBot="1">
      <c r="A139" s="149" t="s">
        <v>141</v>
      </c>
      <c r="B139" s="150"/>
      <c r="C139" s="229">
        <f>SUM(C137,DEGREES(ATAN2(C128,F128)))</f>
        <v>-33.40661446489627</v>
      </c>
      <c r="D139" s="229">
        <f>SUM(D137,DEGREES(ATAN2(C129,F129)))</f>
        <v>43.835947557171195</v>
      </c>
      <c r="E139" s="229">
        <f>SUM(E137,DEGREES(ATAN2(C130,F130)))</f>
        <v>164.23281745752433</v>
      </c>
      <c r="F139" s="229">
        <f>SUM(F137,DEGREES(ATAN2(C131,F131)))</f>
        <v>-72.05106271907673</v>
      </c>
      <c r="G139" s="84"/>
      <c r="H139" s="86"/>
      <c r="I139" s="86"/>
      <c r="J139" s="86"/>
      <c r="K139" s="86"/>
      <c r="L139" s="86"/>
      <c r="M139" s="157"/>
      <c r="N139" s="86"/>
      <c r="O139" s="86"/>
      <c r="P139" s="156"/>
      <c r="Q139" s="23" t="s">
        <v>297</v>
      </c>
      <c r="R139" s="337" t="s">
        <v>491</v>
      </c>
    </row>
    <row r="140" spans="1:29" ht="14.25" thickBot="1" thickTop="1">
      <c r="A140" s="99"/>
      <c r="B140" s="217" t="s">
        <v>256</v>
      </c>
      <c r="C140" s="230"/>
      <c r="D140" s="230"/>
      <c r="E140" s="219"/>
      <c r="F140" s="99"/>
      <c r="G140" s="180" t="s">
        <v>271</v>
      </c>
      <c r="H140" s="182">
        <f>AB135</f>
        <v>2.871526409426224</v>
      </c>
      <c r="I140" s="183"/>
      <c r="J140" s="183">
        <f>AC135</f>
        <v>30.046388081316827</v>
      </c>
      <c r="K140" s="184" t="s">
        <v>4</v>
      </c>
      <c r="L140" s="180" t="s">
        <v>274</v>
      </c>
      <c r="M140" s="185">
        <f>AB138</f>
        <v>-37.735698091280256</v>
      </c>
      <c r="N140" s="183" t="s">
        <v>3</v>
      </c>
      <c r="O140" s="183">
        <f>AC138</f>
        <v>48.51751622586677</v>
      </c>
      <c r="P140" s="184" t="s">
        <v>4</v>
      </c>
      <c r="Q140" s="204" t="s">
        <v>194</v>
      </c>
      <c r="R140" s="204" t="s">
        <v>195</v>
      </c>
      <c r="S140" s="204" t="s">
        <v>196</v>
      </c>
      <c r="T140" s="204" t="s">
        <v>197</v>
      </c>
      <c r="U140" s="248">
        <f>SQRT(SUMSQ(Q141,R141))</f>
        <v>95.10483689066503</v>
      </c>
      <c r="V140" s="248">
        <f>SQRT(SUMSQ(S141,T141))</f>
        <v>50.50990001969911</v>
      </c>
      <c r="W140" s="248">
        <f>SQRT(PRODUCT(U140,V140))</f>
        <v>69.30898789289367</v>
      </c>
      <c r="X140" s="249"/>
      <c r="Y140" s="249"/>
      <c r="Z140" s="204" t="s">
        <v>209</v>
      </c>
      <c r="AA140" s="204" t="s">
        <v>210</v>
      </c>
      <c r="AB140" s="204" t="s">
        <v>208</v>
      </c>
      <c r="AC140" s="204" t="s">
        <v>211</v>
      </c>
    </row>
    <row r="141" spans="1:29" ht="13.5" thickBot="1">
      <c r="A141" s="99"/>
      <c r="B141" s="220" t="s">
        <v>112</v>
      </c>
      <c r="C141" s="220" t="s">
        <v>113</v>
      </c>
      <c r="D141" s="220" t="s">
        <v>114</v>
      </c>
      <c r="E141" s="220" t="s">
        <v>115</v>
      </c>
      <c r="F141" s="99"/>
      <c r="G141" s="140"/>
      <c r="H141" s="98"/>
      <c r="I141" s="98"/>
      <c r="J141" s="98"/>
      <c r="K141" s="98"/>
      <c r="L141" s="98"/>
      <c r="M141" s="98"/>
      <c r="N141" s="98"/>
      <c r="O141" s="98"/>
      <c r="P141" s="87"/>
      <c r="Q141">
        <f>SUM(D78-D13)</f>
        <v>-93.8</v>
      </c>
      <c r="R141">
        <f>SUM(D80-D15)</f>
        <v>-15.7</v>
      </c>
      <c r="S141">
        <f>SUM(D78-E13)</f>
        <v>-48.7</v>
      </c>
      <c r="T141">
        <f>SUM(D80-E15)</f>
        <v>-13.4</v>
      </c>
      <c r="U141" s="30">
        <f>DEGREES(ATAN2(Q141,R141))</f>
        <v>-170.4980610103791</v>
      </c>
      <c r="V141" s="30">
        <f>DEGREES(ATAN2(S141,T141))</f>
        <v>-164.6155456712194</v>
      </c>
      <c r="W141" s="30">
        <f>PRODUCT(SUM(U141,V141),0.5)</f>
        <v>-167.55680334079926</v>
      </c>
      <c r="X141" s="30">
        <f>PRODUCT(W140,COS(RADIANS(W141)))</f>
        <v>-67.68092716097084</v>
      </c>
      <c r="Y141" s="30">
        <f>PRODUCT(W140,SIN(RADIANS(W141)))</f>
        <v>-14.934118700768403</v>
      </c>
      <c r="Z141" s="30">
        <f>SUM(-D78,X141)</f>
        <v>-187.48092716097085</v>
      </c>
      <c r="AA141" s="30">
        <f>SUM(-D80,Y141)</f>
        <v>14.065881299231597</v>
      </c>
      <c r="AB141" s="30">
        <f>SUM(-D78,-X141)</f>
        <v>-52.11907283902916</v>
      </c>
      <c r="AC141" s="30">
        <f>SUM(-D80,-Y141)</f>
        <v>43.9341187007684</v>
      </c>
    </row>
    <row r="142" spans="1:17" ht="14.25" thickBot="1" thickTop="1">
      <c r="A142" s="99"/>
      <c r="B142" s="231">
        <f>C119-B119</f>
        <v>0</v>
      </c>
      <c r="C142" s="231">
        <f>D119-B119</f>
        <v>140</v>
      </c>
      <c r="D142" s="231">
        <f>E119-B119</f>
        <v>0</v>
      </c>
      <c r="E142" s="231">
        <f>F119-B119</f>
        <v>-140</v>
      </c>
      <c r="F142" s="99"/>
      <c r="G142" s="180" t="s">
        <v>272</v>
      </c>
      <c r="H142" s="182">
        <f>AB141</f>
        <v>-52.11907283902916</v>
      </c>
      <c r="I142" s="183"/>
      <c r="J142" s="183">
        <f>AC141</f>
        <v>43.9341187007684</v>
      </c>
      <c r="K142" s="184" t="s">
        <v>4</v>
      </c>
      <c r="L142" s="180" t="s">
        <v>273</v>
      </c>
      <c r="M142" s="182">
        <f>AB144</f>
        <v>-220.77729161686304</v>
      </c>
      <c r="N142" s="183"/>
      <c r="O142" s="183">
        <f>AC144</f>
        <v>6.5740857659843615</v>
      </c>
      <c r="P142" s="184" t="s">
        <v>4</v>
      </c>
      <c r="Q142" t="s">
        <v>298</v>
      </c>
    </row>
    <row r="143" spans="1:29" ht="13.5" thickTop="1">
      <c r="A143" s="99"/>
      <c r="B143" s="231">
        <f>IF(B142&gt;359,(B142-360),(B142))</f>
        <v>0</v>
      </c>
      <c r="C143" s="231">
        <f>IF(C142&gt;359,(C142-360),(C142))</f>
        <v>140</v>
      </c>
      <c r="D143" s="231">
        <f>IF(D142&gt;359,(D142-360),(D142))</f>
        <v>0</v>
      </c>
      <c r="E143" s="231">
        <f>IF(E142&gt;359,(E142-360),(E142))</f>
        <v>-140</v>
      </c>
      <c r="F143" s="99"/>
      <c r="G143" s="84"/>
      <c r="H143" s="86"/>
      <c r="I143" s="86"/>
      <c r="J143" s="86"/>
      <c r="K143" s="86"/>
      <c r="L143" s="86"/>
      <c r="M143" s="86"/>
      <c r="N143" s="86"/>
      <c r="O143" s="86"/>
      <c r="P143" s="87"/>
      <c r="Q143" s="204" t="s">
        <v>194</v>
      </c>
      <c r="R143" s="204" t="s">
        <v>195</v>
      </c>
      <c r="S143" s="204" t="s">
        <v>196</v>
      </c>
      <c r="T143" s="204" t="s">
        <v>197</v>
      </c>
      <c r="U143" s="248">
        <f>SQRT(SUMSQ(Q144,R144))</f>
        <v>113.90741854681809</v>
      </c>
      <c r="V143" s="248">
        <f>SQRT(SUMSQ(S144,T144))</f>
        <v>128.95693079474248</v>
      </c>
      <c r="W143" s="248">
        <f>SQRT(PRODUCT(U143,V143))</f>
        <v>121.19880812347037</v>
      </c>
      <c r="X143" s="249"/>
      <c r="Y143" s="249"/>
      <c r="Z143" s="204" t="s">
        <v>209</v>
      </c>
      <c r="AA143" s="204" t="s">
        <v>210</v>
      </c>
      <c r="AB143" s="204" t="s">
        <v>208</v>
      </c>
      <c r="AC143" s="204" t="s">
        <v>211</v>
      </c>
    </row>
    <row r="144" spans="1:29" ht="13.5" thickBot="1">
      <c r="A144" s="99"/>
      <c r="B144" s="231">
        <f>IF(B142&lt;-359,(B142+360),(B142))</f>
        <v>0</v>
      </c>
      <c r="C144" s="231">
        <f>IF(C142&lt;-359,(C142+360),(C142))</f>
        <v>140</v>
      </c>
      <c r="D144" s="231">
        <f>IF(D142&lt;-359,(D142+360),(D142))</f>
        <v>0</v>
      </c>
      <c r="E144" s="231">
        <f>IF(E142&lt;-359,(E142+360),(E142))</f>
        <v>-140</v>
      </c>
      <c r="F144" s="99"/>
      <c r="G144" s="263" t="s">
        <v>221</v>
      </c>
      <c r="H144" s="261"/>
      <c r="I144" s="261"/>
      <c r="J144" s="261"/>
      <c r="K144" s="261"/>
      <c r="L144" s="261"/>
      <c r="M144" s="261"/>
      <c r="N144" s="261"/>
      <c r="O144" s="261"/>
      <c r="P144" s="262"/>
      <c r="Q144">
        <f>SUM(E78-D13)</f>
        <v>-113.89999999999999</v>
      </c>
      <c r="R144">
        <f>SUM(E80-D15)</f>
        <v>1.3000000000000007</v>
      </c>
      <c r="S144">
        <f>SUM(E78-F13)</f>
        <v>-128.3</v>
      </c>
      <c r="T144">
        <f>SUM(E80-F15)</f>
        <v>-13</v>
      </c>
      <c r="U144" s="30">
        <f>DEGREES(ATAN2(Q144,R144))</f>
        <v>179.34608183237634</v>
      </c>
      <c r="V144" s="30">
        <f>DEGREES(ATAN2(S144,T144))</f>
        <v>-174.21425040470135</v>
      </c>
      <c r="W144" s="30">
        <f>PRODUCT(SUM(U144,V144),0.5)</f>
        <v>2.565915713837498</v>
      </c>
      <c r="X144" s="30">
        <f>PRODUCT(W143,COS(RADIANS(W144)))</f>
        <v>121.07729161686304</v>
      </c>
      <c r="Y144" s="30">
        <f>PRODUCT(W143,SIN(RADIANS(W144)))</f>
        <v>5.4259142340156385</v>
      </c>
      <c r="Z144" s="30">
        <f>SUM(-E78,X144)</f>
        <v>21.377291616863033</v>
      </c>
      <c r="AA144" s="30">
        <f>SUM(-E80,Y144)</f>
        <v>17.42591423401564</v>
      </c>
      <c r="AB144" s="30">
        <f>SUM(-E78,-X144)</f>
        <v>-220.77729161686304</v>
      </c>
      <c r="AC144" s="30">
        <f>SUM(-E80,-Y144)</f>
        <v>6.5740857659843615</v>
      </c>
    </row>
    <row r="145" spans="1:29" ht="14.25" thickBot="1" thickTop="1">
      <c r="A145" s="99"/>
      <c r="B145" s="99"/>
      <c r="C145" s="99"/>
      <c r="D145" s="99"/>
      <c r="E145" s="99"/>
      <c r="F145" s="99"/>
      <c r="G145" s="120"/>
      <c r="H145" s="120"/>
      <c r="I145" s="237"/>
      <c r="J145" s="238"/>
      <c r="K145" s="238"/>
      <c r="L145" s="238"/>
      <c r="M145" s="239"/>
      <c r="N145" s="120"/>
      <c r="O145" s="120"/>
      <c r="P145" s="120"/>
      <c r="Q145" s="259"/>
      <c r="R145" s="260"/>
      <c r="S145" s="260"/>
      <c r="T145" s="260"/>
      <c r="U145" s="260"/>
      <c r="V145" s="260"/>
      <c r="W145" s="260"/>
      <c r="X145" s="260"/>
      <c r="Y145" s="260"/>
      <c r="Z145" s="260"/>
      <c r="AA145" s="260"/>
      <c r="AB145" s="260"/>
      <c r="AC145" s="260"/>
    </row>
    <row r="146" spans="1:16" ht="16.5" thickBot="1" thickTop="1">
      <c r="A146" s="217" t="s">
        <v>249</v>
      </c>
      <c r="B146" s="218"/>
      <c r="C146" s="219"/>
      <c r="D146" s="219"/>
      <c r="E146" s="219"/>
      <c r="F146" s="219"/>
      <c r="G146" s="120"/>
      <c r="H146" s="120"/>
      <c r="I146" s="246" t="s">
        <v>265</v>
      </c>
      <c r="J146" s="244"/>
      <c r="K146" s="244"/>
      <c r="L146" s="244"/>
      <c r="M146" s="245"/>
      <c r="N146" s="120"/>
      <c r="O146" s="120"/>
      <c r="P146" s="120"/>
    </row>
    <row r="147" spans="1:20" ht="13.5" thickBot="1">
      <c r="A147" s="149" t="s">
        <v>245</v>
      </c>
      <c r="B147" s="216" t="e">
        <f>C138*COS(RADIANS(C139))</f>
        <v>#DIV/0!</v>
      </c>
      <c r="C147" s="216" t="e">
        <f>C138*SIN(RADIANS(C139))</f>
        <v>#DIV/0!</v>
      </c>
      <c r="D147" s="153" t="s">
        <v>247</v>
      </c>
      <c r="E147" s="216" t="e">
        <f>D138*COS(RADIANS(D139))</f>
        <v>#DIV/0!</v>
      </c>
      <c r="F147" s="216" t="e">
        <f>D138*SIN(RADIANS(D139))</f>
        <v>#DIV/0!</v>
      </c>
      <c r="G147" s="120"/>
      <c r="H147" s="120"/>
      <c r="I147" s="243"/>
      <c r="J147" s="244"/>
      <c r="K147" s="244"/>
      <c r="L147" s="244"/>
      <c r="M147" s="245"/>
      <c r="N147" s="120"/>
      <c r="O147" s="120"/>
      <c r="P147" s="120"/>
      <c r="Q147" s="268" t="s">
        <v>414</v>
      </c>
      <c r="R147" s="269"/>
      <c r="S147" s="269"/>
      <c r="T147" s="269"/>
    </row>
    <row r="148" spans="1:26" ht="13.5" thickTop="1">
      <c r="A148" s="149" t="s">
        <v>246</v>
      </c>
      <c r="B148" s="216" t="e">
        <f>E138*COS(RADIANS(E139))</f>
        <v>#DIV/0!</v>
      </c>
      <c r="C148" s="216" t="e">
        <f>E138*SIN(RADIANS(E139))</f>
        <v>#DIV/0!</v>
      </c>
      <c r="D148" s="153" t="s">
        <v>248</v>
      </c>
      <c r="E148" s="216" t="e">
        <f>F138*COS(RADIANS(F139))</f>
        <v>#DIV/0!</v>
      </c>
      <c r="F148" s="216" t="e">
        <f>F138*SIN(RADIANS(F139))</f>
        <v>#DIV/0!</v>
      </c>
      <c r="G148" s="197" t="s">
        <v>156</v>
      </c>
      <c r="H148" s="191"/>
      <c r="I148" s="191"/>
      <c r="J148" s="191"/>
      <c r="K148" s="191"/>
      <c r="L148" s="191"/>
      <c r="M148" s="191"/>
      <c r="N148" s="191"/>
      <c r="O148" s="191"/>
      <c r="P148" s="137"/>
      <c r="Q148" s="3" t="s">
        <v>292</v>
      </c>
      <c r="W148" s="165" t="s">
        <v>142</v>
      </c>
      <c r="X148" s="166"/>
      <c r="Y148" s="158" t="s">
        <v>332</v>
      </c>
      <c r="Z148" s="159"/>
    </row>
    <row r="149" spans="7:26" ht="13.5" thickBot="1">
      <c r="G149" s="198" t="s">
        <v>157</v>
      </c>
      <c r="H149" s="171"/>
      <c r="I149" s="196"/>
      <c r="J149" s="190"/>
      <c r="K149" s="190"/>
      <c r="L149" s="190"/>
      <c r="M149" s="190"/>
      <c r="N149" s="190"/>
      <c r="O149" s="190"/>
      <c r="P149" s="192"/>
      <c r="Q149" s="3" t="s">
        <v>325</v>
      </c>
      <c r="W149" s="169" t="s">
        <v>335</v>
      </c>
      <c r="X149" s="167"/>
      <c r="Y149" s="161" t="s">
        <v>138</v>
      </c>
      <c r="Z149" s="162" t="s">
        <v>138</v>
      </c>
    </row>
    <row r="150" spans="2:26" ht="14.25" thickBot="1" thickTop="1">
      <c r="B150" s="224" t="s">
        <v>250</v>
      </c>
      <c r="C150" s="222"/>
      <c r="D150" s="222"/>
      <c r="G150" s="140"/>
      <c r="H150" s="141" t="s">
        <v>140</v>
      </c>
      <c r="I150" s="142"/>
      <c r="J150" s="143"/>
      <c r="K150" s="143"/>
      <c r="L150" s="143"/>
      <c r="M150" s="143"/>
      <c r="N150" s="143"/>
      <c r="O150" s="144"/>
      <c r="P150" s="87"/>
      <c r="Q150" t="s">
        <v>438</v>
      </c>
      <c r="R150" t="s">
        <v>345</v>
      </c>
      <c r="T150" t="s">
        <v>346</v>
      </c>
      <c r="U150" t="s">
        <v>347</v>
      </c>
      <c r="V150" t="s">
        <v>348</v>
      </c>
      <c r="W150" s="160" t="s">
        <v>143</v>
      </c>
      <c r="X150" s="168" t="s">
        <v>9</v>
      </c>
      <c r="Y150" s="163" t="s">
        <v>333</v>
      </c>
      <c r="Z150" s="164" t="s">
        <v>334</v>
      </c>
    </row>
    <row r="151" spans="2:26" ht="14.25" thickBot="1" thickTop="1">
      <c r="B151" s="223" t="s">
        <v>258</v>
      </c>
      <c r="C151" s="225" t="e">
        <f>SUM(B13,B147,E147,B148,E148)</f>
        <v>#DIV/0!</v>
      </c>
      <c r="D151" s="225" t="e">
        <f>SUM(B15,C147,F147,C148,F148)</f>
        <v>#DIV/0!</v>
      </c>
      <c r="G151" s="84"/>
      <c r="H151" s="86"/>
      <c r="I151" s="86"/>
      <c r="J151" s="86"/>
      <c r="K151" s="86"/>
      <c r="L151" s="86"/>
      <c r="M151" s="86"/>
      <c r="N151" s="86"/>
      <c r="O151" s="86"/>
      <c r="P151" s="87"/>
      <c r="Q151" s="146" t="s">
        <v>275</v>
      </c>
      <c r="R151" s="71">
        <f>R159*COS(RADIANS(S159))</f>
        <v>3.6791350439529555</v>
      </c>
      <c r="S151" s="72"/>
      <c r="T151" s="73">
        <f>R159*SIN(RADIANS(S159))</f>
        <v>-26.579616902273848</v>
      </c>
      <c r="U151" s="30">
        <f>E13-B46</f>
        <v>-4.099999999999994</v>
      </c>
      <c r="V151" s="30">
        <f>E15-B48</f>
        <v>-1.0999999999999996</v>
      </c>
      <c r="W151" s="30">
        <f>SQRT(SUMSQ(U151,V151))</f>
        <v>4.244997055358219</v>
      </c>
      <c r="X151" s="65">
        <f>DEGREES(ATAN2(U151,V151))</f>
        <v>-164.98163936884933</v>
      </c>
      <c r="Y151" s="30">
        <f>SQRT(SUMSQ(B13,B15))</f>
        <v>169.61426826773743</v>
      </c>
      <c r="Z151" s="65">
        <f>DEGREES(ATAN2(B13,B15))</f>
        <v>0.7431818730541038</v>
      </c>
    </row>
    <row r="152" spans="2:26" ht="12.75">
      <c r="B152" s="256"/>
      <c r="C152" s="257"/>
      <c r="D152" s="257"/>
      <c r="G152" s="89"/>
      <c r="H152" s="189" t="s">
        <v>148</v>
      </c>
      <c r="I152" s="190"/>
      <c r="J152" s="190"/>
      <c r="K152" s="190"/>
      <c r="L152" s="190"/>
      <c r="M152" s="190"/>
      <c r="N152" s="190"/>
      <c r="O152" s="190"/>
      <c r="P152" s="87"/>
      <c r="Q152" s="147" t="s">
        <v>278</v>
      </c>
      <c r="R152" s="68">
        <f>R160*COS(RADIANS(S160))</f>
        <v>4.519110518502651</v>
      </c>
      <c r="S152" s="70"/>
      <c r="T152" s="74">
        <f>R160*SIN(RADIANS(S160))</f>
        <v>40.306604420100214</v>
      </c>
      <c r="U152" s="30">
        <f>E13-C46</f>
        <v>-7.900000000000006</v>
      </c>
      <c r="V152" s="30">
        <f>E15-C48</f>
        <v>1.0999999999999996</v>
      </c>
      <c r="W152" s="30">
        <f>SQRT(SUMSQ(U152,V152))</f>
        <v>7.976214641043713</v>
      </c>
      <c r="X152" s="30">
        <f>DEGREES(ATAN2(U152,V152))</f>
        <v>172.0730733173104</v>
      </c>
      <c r="Y152" s="30">
        <f>SQRT(SUMSQ(C13,C15))</f>
        <v>206.24378778523246</v>
      </c>
      <c r="Z152" s="65">
        <f>DEGREES(ATAN2(C13,C15))</f>
        <v>-4.867459176387376</v>
      </c>
    </row>
    <row r="153" spans="1:26" ht="13.5" thickBot="1">
      <c r="A153" t="s">
        <v>367</v>
      </c>
      <c r="G153" s="89"/>
      <c r="H153" s="85"/>
      <c r="I153" s="86"/>
      <c r="J153" s="86"/>
      <c r="K153" s="86"/>
      <c r="L153" s="86"/>
      <c r="M153" s="86"/>
      <c r="N153" s="86"/>
      <c r="O153" s="86"/>
      <c r="P153" s="87"/>
      <c r="Q153" s="147" t="s">
        <v>276</v>
      </c>
      <c r="R153" s="68">
        <f>R161*COS(RADIANS(S161))</f>
        <v>52.85941375165064</v>
      </c>
      <c r="S153" s="69"/>
      <c r="T153" s="74">
        <f>R161*SIN(RADIANS(S161))</f>
        <v>-35.9728734210682</v>
      </c>
      <c r="U153" s="30">
        <f>E13-D46</f>
        <v>8.099999999999994</v>
      </c>
      <c r="V153" s="30">
        <f>E15-D48</f>
        <v>-17.3</v>
      </c>
      <c r="W153" s="30">
        <f>SQRT(SUMSQ(U153,V153))</f>
        <v>19.10235587565052</v>
      </c>
      <c r="X153" s="65">
        <f>DEGREES(ATAN2(U153,V153))</f>
        <v>-64.91062613107141</v>
      </c>
      <c r="Y153" s="30">
        <f>SQRT(SUMSQ(D13,D15))</f>
        <v>214.01366778783077</v>
      </c>
      <c r="Z153" s="65">
        <f>DEGREES(ATAN2(D13,D15))</f>
        <v>-3.56297443364676</v>
      </c>
    </row>
    <row r="154" spans="7:26" ht="16.5" thickBot="1" thickTop="1">
      <c r="G154" s="90" t="s">
        <v>275</v>
      </c>
      <c r="H154" s="131">
        <f>R151</f>
        <v>3.6791350439529555</v>
      </c>
      <c r="I154" s="154" t="str">
        <f>IF(T151&gt;0,"+","-")</f>
        <v>-</v>
      </c>
      <c r="J154" s="132">
        <f>ABS(T151)</f>
        <v>26.579616902273848</v>
      </c>
      <c r="K154" s="133" t="s">
        <v>4</v>
      </c>
      <c r="L154" s="91" t="s">
        <v>278</v>
      </c>
      <c r="M154" s="134">
        <f>R152</f>
        <v>4.519110518502651</v>
      </c>
      <c r="N154" s="154" t="str">
        <f>IF(T152&gt;0,"+","-")</f>
        <v>+</v>
      </c>
      <c r="O154" s="135">
        <f>ABS(T152)</f>
        <v>40.306604420100214</v>
      </c>
      <c r="P154" s="133" t="s">
        <v>4</v>
      </c>
      <c r="Q154" s="148" t="s">
        <v>277</v>
      </c>
      <c r="R154" s="75">
        <f>R162*COS(RADIANS(S162))</f>
        <v>41.24018484163522</v>
      </c>
      <c r="S154" s="76"/>
      <c r="T154" s="77">
        <f>R162*SIN(RADIANS(S162))</f>
        <v>-73.73027089175952</v>
      </c>
      <c r="U154" s="30">
        <f>E13-E46</f>
        <v>-16.5</v>
      </c>
      <c r="V154" s="30">
        <f>E15-E48</f>
        <v>-26.6</v>
      </c>
      <c r="W154" s="30">
        <f>SQRT(SUMSQ(U154,V154))</f>
        <v>31.301916874210757</v>
      </c>
      <c r="X154" s="30">
        <f>DEGREES(ATAN2(U154,V154))</f>
        <v>-121.81135828258647</v>
      </c>
      <c r="Y154" s="30">
        <f>SQRT(SUMSQ(F13,F15))</f>
        <v>228.0021929719098</v>
      </c>
      <c r="Z154" s="65">
        <f>DEGREES(ATAN2(F13,F15))</f>
        <v>0.25129566720895</v>
      </c>
    </row>
    <row r="155" spans="1:20" ht="14.25" thickBot="1" thickTop="1">
      <c r="A155" s="120"/>
      <c r="B155" s="232" t="s">
        <v>255</v>
      </c>
      <c r="C155" s="233"/>
      <c r="D155" s="234"/>
      <c r="E155" s="120"/>
      <c r="F155" s="120"/>
      <c r="G155" s="93"/>
      <c r="H155" s="94"/>
      <c r="I155" s="95"/>
      <c r="J155" s="95"/>
      <c r="K155" s="95"/>
      <c r="L155" s="96"/>
      <c r="M155" s="95"/>
      <c r="N155" s="97"/>
      <c r="O155" s="86"/>
      <c r="P155" s="87"/>
      <c r="Q155" s="127" t="s">
        <v>150</v>
      </c>
      <c r="R155" s="136"/>
      <c r="S155" s="191"/>
      <c r="T155" s="106"/>
    </row>
    <row r="156" spans="1:20" ht="16.5" thickBot="1" thickTop="1">
      <c r="A156" s="120"/>
      <c r="B156" s="255"/>
      <c r="C156" s="255"/>
      <c r="D156" s="255"/>
      <c r="E156" s="120"/>
      <c r="F156" s="120"/>
      <c r="G156" s="90" t="s">
        <v>276</v>
      </c>
      <c r="H156" s="131">
        <f>R153</f>
        <v>52.85941375165064</v>
      </c>
      <c r="I156" s="155" t="str">
        <f>IF(T153&gt;0,"+","-")</f>
        <v>-</v>
      </c>
      <c r="J156" s="135">
        <f>ABS(T153)</f>
        <v>35.9728734210682</v>
      </c>
      <c r="K156" s="133" t="s">
        <v>4</v>
      </c>
      <c r="L156" s="91" t="s">
        <v>277</v>
      </c>
      <c r="M156" s="134">
        <f>R154</f>
        <v>41.24018484163522</v>
      </c>
      <c r="N156" s="155" t="str">
        <f>IF(T154&gt;0,"+","-")</f>
        <v>-</v>
      </c>
      <c r="O156" s="135">
        <f>ABS(T154)</f>
        <v>73.73027089175952</v>
      </c>
      <c r="P156" s="133" t="s">
        <v>4</v>
      </c>
      <c r="Q156" s="145" t="s">
        <v>151</v>
      </c>
      <c r="R156" s="128"/>
      <c r="S156" s="105"/>
      <c r="T156" s="192"/>
    </row>
    <row r="157" spans="1:20" ht="14.25" thickBot="1" thickTop="1">
      <c r="A157" s="227" t="s">
        <v>251</v>
      </c>
      <c r="B157" s="210"/>
      <c r="C157" s="210"/>
      <c r="D157" s="210"/>
      <c r="E157" s="211"/>
      <c r="F157" s="212"/>
      <c r="G157" s="84"/>
      <c r="H157" s="86"/>
      <c r="I157" s="86"/>
      <c r="J157" s="86"/>
      <c r="K157" s="86"/>
      <c r="L157" s="86"/>
      <c r="M157" s="157"/>
      <c r="N157" s="86"/>
      <c r="O157" s="86"/>
      <c r="P157" s="87"/>
      <c r="Q157" t="s">
        <v>3</v>
      </c>
      <c r="R157" s="138" t="s">
        <v>14</v>
      </c>
      <c r="S157" s="195" t="s">
        <v>146</v>
      </c>
      <c r="T157" s="172" t="s">
        <v>147</v>
      </c>
    </row>
    <row r="158" spans="1:20" ht="13.5" thickBot="1">
      <c r="A158" s="227" t="s">
        <v>252</v>
      </c>
      <c r="B158" s="210"/>
      <c r="C158" s="226"/>
      <c r="D158" s="210"/>
      <c r="E158" s="211"/>
      <c r="F158" s="212"/>
      <c r="G158" s="84"/>
      <c r="H158" s="186" t="s">
        <v>149</v>
      </c>
      <c r="I158" s="187"/>
      <c r="J158" s="187"/>
      <c r="K158" s="187"/>
      <c r="L158" s="187"/>
      <c r="M158" s="188"/>
      <c r="N158" s="187"/>
      <c r="O158" s="187"/>
      <c r="P158" s="156"/>
      <c r="R158" s="139" t="s">
        <v>344</v>
      </c>
      <c r="S158" s="193" t="s">
        <v>343</v>
      </c>
      <c r="T158" s="194"/>
    </row>
    <row r="159" spans="1:20" ht="14.25" thickBot="1" thickTop="1">
      <c r="A159" s="227" t="s">
        <v>253</v>
      </c>
      <c r="B159" s="211"/>
      <c r="C159" s="213"/>
      <c r="D159" s="213"/>
      <c r="E159" s="213"/>
      <c r="F159" s="212"/>
      <c r="G159" s="84"/>
      <c r="H159" s="86"/>
      <c r="I159" s="86"/>
      <c r="J159" s="86"/>
      <c r="K159" s="86"/>
      <c r="L159" s="86"/>
      <c r="M159" s="157"/>
      <c r="N159" s="86"/>
      <c r="O159" s="86"/>
      <c r="P159" s="156"/>
      <c r="Q159" s="129" t="s">
        <v>275</v>
      </c>
      <c r="R159" s="173">
        <f>SQRT(PRODUCT(Y151,W151))</f>
        <v>26.833040627988556</v>
      </c>
      <c r="S159" s="175">
        <f>PRODUCT(SUM(X151,Z151),0.5)</f>
        <v>-82.11922874789761</v>
      </c>
      <c r="T159" s="316">
        <f>SUM(S159,-180)</f>
        <v>-262.11922874789764</v>
      </c>
    </row>
    <row r="160" spans="1:20" ht="14.25" thickBot="1" thickTop="1">
      <c r="A160" s="214" t="s">
        <v>368</v>
      </c>
      <c r="B160" s="215"/>
      <c r="C160" s="290">
        <v>70.2</v>
      </c>
      <c r="D160" s="214" t="s">
        <v>369</v>
      </c>
      <c r="E160" s="215"/>
      <c r="F160" s="290">
        <v>-46.3</v>
      </c>
      <c r="G160" s="180" t="s">
        <v>275</v>
      </c>
      <c r="H160" s="182">
        <f>PRODUCT(R151,-1)</f>
        <v>-3.6791350439529555</v>
      </c>
      <c r="I160" s="183"/>
      <c r="J160" s="183">
        <f>PRODUCT(T151,-1)</f>
        <v>26.579616902273848</v>
      </c>
      <c r="K160" s="184" t="s">
        <v>4</v>
      </c>
      <c r="L160" s="181" t="s">
        <v>278</v>
      </c>
      <c r="M160" s="185">
        <f>PRODUCT(R152,-1)</f>
        <v>-4.519110518502651</v>
      </c>
      <c r="N160" s="183"/>
      <c r="O160" s="183">
        <f>PRODUCT(T152,-1)</f>
        <v>-40.306604420100214</v>
      </c>
      <c r="P160" s="184" t="s">
        <v>4</v>
      </c>
      <c r="Q160" s="125" t="s">
        <v>278</v>
      </c>
      <c r="R160" s="123">
        <f>SQRT(PRODUCT(Y152,W152))</f>
        <v>40.55915087568875</v>
      </c>
      <c r="S160" s="176">
        <f>PRODUCT(SUM(X152,Z152),0.5)</f>
        <v>83.60280707046151</v>
      </c>
      <c r="T160" s="174">
        <f>SUM(S160,-180)</f>
        <v>-96.39719292953849</v>
      </c>
    </row>
    <row r="161" spans="1:20" ht="13.5" thickBot="1">
      <c r="A161" s="214" t="s">
        <v>361</v>
      </c>
      <c r="B161" s="215"/>
      <c r="C161" s="290">
        <v>50</v>
      </c>
      <c r="D161" s="214" t="s">
        <v>362</v>
      </c>
      <c r="E161" s="215"/>
      <c r="F161" s="290">
        <v>-51.1</v>
      </c>
      <c r="G161" s="140"/>
      <c r="H161" s="98"/>
      <c r="I161" s="98"/>
      <c r="J161" s="98"/>
      <c r="K161" s="98"/>
      <c r="L161" s="98"/>
      <c r="M161" s="98"/>
      <c r="N161" s="98"/>
      <c r="O161" s="98"/>
      <c r="P161" s="87"/>
      <c r="Q161" s="130" t="s">
        <v>276</v>
      </c>
      <c r="R161" s="123">
        <f>SQRT(PRODUCT(Y153,W153))</f>
        <v>63.93876167346681</v>
      </c>
      <c r="S161" s="176">
        <f>PRODUCT(SUM(X153,Z153),0.5)</f>
        <v>-34.236800282359084</v>
      </c>
      <c r="T161" s="174">
        <f>SUM(S161,-180)</f>
        <v>-214.23680028235907</v>
      </c>
    </row>
    <row r="162" spans="1:20" ht="14.25" thickBot="1" thickTop="1">
      <c r="A162" s="214" t="s">
        <v>363</v>
      </c>
      <c r="B162" s="215"/>
      <c r="C162" s="290">
        <v>-7.7</v>
      </c>
      <c r="D162" s="214" t="s">
        <v>364</v>
      </c>
      <c r="E162" s="215"/>
      <c r="F162" s="290">
        <v>-26.6</v>
      </c>
      <c r="G162" s="180" t="s">
        <v>276</v>
      </c>
      <c r="H162" s="182">
        <f>PRODUCT(R153,-1)</f>
        <v>-52.85941375165064</v>
      </c>
      <c r="I162" s="183"/>
      <c r="J162" s="183">
        <f>PRODUCT(T153,-1)</f>
        <v>35.9728734210682</v>
      </c>
      <c r="K162" s="184" t="s">
        <v>4</v>
      </c>
      <c r="L162" s="181" t="s">
        <v>277</v>
      </c>
      <c r="M162" s="182">
        <f>PRODUCT(R154,-1)</f>
        <v>-41.24018484163522</v>
      </c>
      <c r="N162" s="183"/>
      <c r="O162" s="183">
        <f>PRODUCT(T154,-1)</f>
        <v>73.73027089175952</v>
      </c>
      <c r="P162" s="184" t="s">
        <v>4</v>
      </c>
      <c r="Q162" s="126" t="s">
        <v>277</v>
      </c>
      <c r="R162" s="124">
        <f>SQRT(PRODUCT(Y154,W154))</f>
        <v>84.48020887488667</v>
      </c>
      <c r="S162" s="177">
        <f>PRODUCT(SUM(X154,Z154),0.5)</f>
        <v>-60.78003130768876</v>
      </c>
      <c r="T162" s="174">
        <f>SUM(S162,-180)</f>
        <v>-240.78003130768877</v>
      </c>
    </row>
    <row r="163" spans="1:16" ht="13.5" thickBot="1">
      <c r="A163" s="214" t="s">
        <v>365</v>
      </c>
      <c r="B163" s="215"/>
      <c r="C163" s="290">
        <v>-12.3</v>
      </c>
      <c r="D163" s="214" t="s">
        <v>366</v>
      </c>
      <c r="E163" s="215"/>
      <c r="F163" s="290">
        <v>3.84</v>
      </c>
      <c r="G163" s="180"/>
      <c r="H163" s="92"/>
      <c r="I163" s="92"/>
      <c r="J163" s="92"/>
      <c r="K163" s="98"/>
      <c r="L163" s="181"/>
      <c r="M163" s="92"/>
      <c r="N163" s="92"/>
      <c r="O163" s="92"/>
      <c r="P163" s="156"/>
    </row>
    <row r="164" spans="7:16" ht="12.75" thickBot="1">
      <c r="G164" s="84" t="s">
        <v>221</v>
      </c>
      <c r="H164" s="86"/>
      <c r="I164" s="86"/>
      <c r="J164" s="86"/>
      <c r="K164" s="86"/>
      <c r="L164" s="86"/>
      <c r="M164" s="86"/>
      <c r="N164" s="86"/>
      <c r="O164" s="86"/>
      <c r="P164" s="87"/>
    </row>
    <row r="165" spans="1:20" ht="13.5" thickTop="1">
      <c r="A165" s="102" t="s">
        <v>3</v>
      </c>
      <c r="G165" s="197" t="s">
        <v>156</v>
      </c>
      <c r="H165" s="191"/>
      <c r="I165" s="191"/>
      <c r="J165" s="191"/>
      <c r="K165" s="191"/>
      <c r="L165" s="191"/>
      <c r="M165" s="191"/>
      <c r="N165" s="191"/>
      <c r="O165" s="191"/>
      <c r="P165" s="137"/>
      <c r="Q165" s="270" t="s">
        <v>415</v>
      </c>
      <c r="R165" s="271"/>
      <c r="S165" s="271"/>
      <c r="T165" s="271"/>
    </row>
    <row r="166" spans="1:16" ht="13.5" thickBot="1">
      <c r="A166" s="99"/>
      <c r="B166" s="99"/>
      <c r="C166" s="99"/>
      <c r="D166" s="99"/>
      <c r="E166" s="99"/>
      <c r="F166" s="99"/>
      <c r="G166" s="198" t="s">
        <v>158</v>
      </c>
      <c r="H166" s="171"/>
      <c r="I166" s="196"/>
      <c r="J166" s="190"/>
      <c r="K166" s="190"/>
      <c r="L166" s="190"/>
      <c r="M166" s="190"/>
      <c r="N166" s="190"/>
      <c r="O166" s="190"/>
      <c r="P166" s="192"/>
    </row>
    <row r="167" spans="1:17" ht="14.25" thickBot="1" thickTop="1">
      <c r="A167" s="209" t="s">
        <v>358</v>
      </c>
      <c r="B167" s="99"/>
      <c r="C167" s="99"/>
      <c r="D167" s="99"/>
      <c r="E167" s="99"/>
      <c r="F167" s="99"/>
      <c r="G167" s="140"/>
      <c r="H167" s="141" t="s">
        <v>140</v>
      </c>
      <c r="I167" s="142"/>
      <c r="J167" s="143"/>
      <c r="K167" s="143"/>
      <c r="L167" s="143"/>
      <c r="M167" s="143"/>
      <c r="N167" s="143"/>
      <c r="O167" s="144"/>
      <c r="P167" s="87"/>
      <c r="Q167" s="235" t="s">
        <v>193</v>
      </c>
    </row>
    <row r="168" spans="1:16" ht="13.5" thickTop="1">
      <c r="A168" s="99"/>
      <c r="B168" s="150" t="s">
        <v>120</v>
      </c>
      <c r="C168" s="221" t="s">
        <v>116</v>
      </c>
      <c r="D168" s="221" t="s">
        <v>117</v>
      </c>
      <c r="E168" s="221" t="s">
        <v>118</v>
      </c>
      <c r="F168" s="221" t="s">
        <v>119</v>
      </c>
      <c r="G168" s="140"/>
      <c r="H168" s="207"/>
      <c r="I168" s="207"/>
      <c r="J168" s="208"/>
      <c r="K168" s="208"/>
      <c r="L168" s="208"/>
      <c r="M168" s="208"/>
      <c r="N168" s="208"/>
      <c r="O168" s="208"/>
      <c r="P168" s="87"/>
    </row>
    <row r="169" spans="1:24" ht="12.75">
      <c r="A169" s="149" t="s">
        <v>133</v>
      </c>
      <c r="B169" s="150"/>
      <c r="C169" s="152" t="e">
        <f>B117/C117</f>
        <v>#DIV/0!</v>
      </c>
      <c r="D169" s="152" t="e">
        <f>D117/C117</f>
        <v>#DIV/0!</v>
      </c>
      <c r="E169" s="152" t="e">
        <f>E117/C117</f>
        <v>#DIV/0!</v>
      </c>
      <c r="F169" s="152" t="e">
        <f>F117/C117</f>
        <v>#DIV/0!</v>
      </c>
      <c r="G169" s="89"/>
      <c r="H169" s="189" t="s">
        <v>212</v>
      </c>
      <c r="I169" s="190"/>
      <c r="J169" s="190"/>
      <c r="K169" s="190"/>
      <c r="L169" s="190"/>
      <c r="M169" s="190"/>
      <c r="N169" s="190"/>
      <c r="O169" s="190"/>
      <c r="P169" s="87"/>
      <c r="Q169" t="s">
        <v>308</v>
      </c>
      <c r="U169" t="s">
        <v>198</v>
      </c>
      <c r="W169" t="s">
        <v>53</v>
      </c>
      <c r="X169" t="s">
        <v>204</v>
      </c>
    </row>
    <row r="170" spans="1:28" ht="13.5" thickBot="1">
      <c r="A170" s="149" t="s">
        <v>134</v>
      </c>
      <c r="B170" s="150" t="s">
        <v>135</v>
      </c>
      <c r="C170" s="228">
        <f>IF(B175&lt;0,B177,B176)</f>
        <v>0</v>
      </c>
      <c r="D170" s="228">
        <f>IF(C175&lt;0,C177,C176)</f>
        <v>140</v>
      </c>
      <c r="E170" s="228">
        <f>IF(D175&lt;0,D177,D176)</f>
        <v>0</v>
      </c>
      <c r="F170" s="228">
        <f>IF(E175&lt;0,E177,E176)</f>
        <v>-140</v>
      </c>
      <c r="G170" s="89"/>
      <c r="H170" s="85"/>
      <c r="I170" s="86"/>
      <c r="J170" s="86"/>
      <c r="K170" s="86"/>
      <c r="L170" s="86"/>
      <c r="M170" s="86"/>
      <c r="N170" s="86"/>
      <c r="O170" s="86"/>
      <c r="P170" s="87"/>
      <c r="Q170" s="203" t="s">
        <v>234</v>
      </c>
      <c r="R170" s="203"/>
      <c r="S170" s="203" t="s">
        <v>235</v>
      </c>
      <c r="T170" s="203"/>
      <c r="U170" s="203" t="s">
        <v>202</v>
      </c>
      <c r="V170" s="203" t="s">
        <v>203</v>
      </c>
      <c r="W170" s="41" t="s">
        <v>200</v>
      </c>
      <c r="X170" s="203" t="s">
        <v>205</v>
      </c>
      <c r="Y170" s="203" t="s">
        <v>206</v>
      </c>
      <c r="Z170" s="204" t="s">
        <v>207</v>
      </c>
      <c r="AA170" s="41"/>
      <c r="AB170" s="204" t="s">
        <v>299</v>
      </c>
    </row>
    <row r="171" spans="1:29" ht="16.5" thickBot="1" thickTop="1">
      <c r="A171" s="149" t="s">
        <v>139</v>
      </c>
      <c r="B171" s="150" t="s">
        <v>136</v>
      </c>
      <c r="C171" s="151" t="e">
        <f>PRODUCT(C169,SQRT(SUMSQ(C160,F160)))</f>
        <v>#DIV/0!</v>
      </c>
      <c r="D171" s="151" t="e">
        <f>PRODUCT(D169,SQRT(SUMSQ(C161,F161)))</f>
        <v>#DIV/0!</v>
      </c>
      <c r="E171" s="151" t="e">
        <f>PRODUCT(E169,SQRT(SUMSQ(C162,F162)))</f>
        <v>#DIV/0!</v>
      </c>
      <c r="F171" s="151" t="e">
        <f>PRODUCT(F169,SQRT(SUMSQ(C163,F163)))</f>
        <v>#DIV/0!</v>
      </c>
      <c r="G171" s="180" t="s">
        <v>279</v>
      </c>
      <c r="H171" s="131">
        <f>Z172</f>
        <v>7.891344999219541</v>
      </c>
      <c r="I171" s="154"/>
      <c r="J171" s="132">
        <f>AA172</f>
        <v>16.819430024473288</v>
      </c>
      <c r="K171" s="133" t="s">
        <v>4</v>
      </c>
      <c r="L171" s="180" t="s">
        <v>282</v>
      </c>
      <c r="M171" s="134">
        <f>Z175</f>
        <v>-185.198111777554</v>
      </c>
      <c r="N171" s="154"/>
      <c r="O171" s="135">
        <f>AA175</f>
        <v>16.273156668593725</v>
      </c>
      <c r="P171" s="133" t="s">
        <v>4</v>
      </c>
      <c r="Q171" s="203" t="s">
        <v>194</v>
      </c>
      <c r="R171" s="203" t="s">
        <v>195</v>
      </c>
      <c r="S171" s="203" t="s">
        <v>196</v>
      </c>
      <c r="T171" s="203" t="s">
        <v>197</v>
      </c>
      <c r="U171" s="30">
        <f>SQRT(SUMSQ(Q172,R172))</f>
        <v>87.78228750721868</v>
      </c>
      <c r="V171" s="30">
        <f>SQRT(SUMSQ(S172,T172))</f>
        <v>89.89682975500304</v>
      </c>
      <c r="W171" s="205">
        <f>SQRT(PRODUCT(U171,V171))</f>
        <v>88.83326716687374</v>
      </c>
      <c r="Z171" s="41" t="s">
        <v>209</v>
      </c>
      <c r="AA171" s="41" t="s">
        <v>210</v>
      </c>
      <c r="AB171" s="41" t="s">
        <v>208</v>
      </c>
      <c r="AC171" s="41" t="s">
        <v>211</v>
      </c>
    </row>
    <row r="172" spans="1:29" ht="14.25" thickBot="1" thickTop="1">
      <c r="A172" s="149" t="s">
        <v>141</v>
      </c>
      <c r="B172" s="150"/>
      <c r="C172" s="229">
        <f>SUM(C170,DEGREES(ATAN2(C160,F160)))</f>
        <v>-33.40661446489627</v>
      </c>
      <c r="D172" s="229">
        <f>SUM(D170,DEGREES(ATAN2(C161,F161)))</f>
        <v>94.37662838147013</v>
      </c>
      <c r="E172" s="229">
        <f>SUM(E170,DEGREES(ATAN2(C162,F162)))</f>
        <v>-106.14433878028348</v>
      </c>
      <c r="F172" s="229">
        <f>SUM(F170,DEGREES(ATAN2(C163,F163)))</f>
        <v>22.661890857638525</v>
      </c>
      <c r="G172" s="93"/>
      <c r="H172" s="94"/>
      <c r="I172" s="95"/>
      <c r="J172" s="95"/>
      <c r="K172" s="95"/>
      <c r="L172" s="96"/>
      <c r="M172" s="95"/>
      <c r="N172" s="97"/>
      <c r="O172" s="86"/>
      <c r="P172" s="87"/>
      <c r="Q172" s="23">
        <f>SUM(B85-E13)</f>
        <v>-87.7</v>
      </c>
      <c r="R172">
        <f>SUM(B87-E15)</f>
        <v>3.799999999999999</v>
      </c>
      <c r="S172" s="23">
        <f>SUM(B85-B13)</f>
        <v>-88.8</v>
      </c>
      <c r="T172">
        <f>SUM(B87-B15)</f>
        <v>-14</v>
      </c>
      <c r="U172" s="30">
        <f>DEGREES(ATAN2(Q172,R172))</f>
        <v>177.51895256255114</v>
      </c>
      <c r="V172" s="30">
        <f>DEGREES(ATAN2(S172,T172))</f>
        <v>-171.04062709282766</v>
      </c>
      <c r="W172" s="30">
        <f>PRODUCT(SUM(U172,V172),0.5)</f>
        <v>3.2391627348617362</v>
      </c>
      <c r="X172" s="30">
        <f>PRODUCT(W171,COS(RADIANS(W172)))</f>
        <v>88.69134499921954</v>
      </c>
      <c r="Y172" s="30">
        <f>PRODUCT(W171,SIN(RADIANS(W172)))</f>
        <v>5.019430024473287</v>
      </c>
      <c r="Z172" s="30">
        <f>SUM(-B85,X172)</f>
        <v>7.891344999219541</v>
      </c>
      <c r="AA172" s="30">
        <f>SUM(-B87,Y172)</f>
        <v>16.819430024473288</v>
      </c>
      <c r="AB172" s="30">
        <f>SUM(-B85,-X172)</f>
        <v>-169.49134499921954</v>
      </c>
      <c r="AC172" s="30">
        <f>SUM(-B87,-Y172)</f>
        <v>6.7805699755267135</v>
      </c>
    </row>
    <row r="173" spans="1:17" ht="16.5" thickBot="1" thickTop="1">
      <c r="A173" s="99"/>
      <c r="B173" s="217" t="s">
        <v>256</v>
      </c>
      <c r="C173" s="230"/>
      <c r="D173" s="230"/>
      <c r="E173" s="219"/>
      <c r="F173" s="99"/>
      <c r="G173" s="180" t="s">
        <v>280</v>
      </c>
      <c r="H173" s="131">
        <f>Z178</f>
        <v>-187.48092716097085</v>
      </c>
      <c r="I173" s="155"/>
      <c r="J173" s="135">
        <f>AA178</f>
        <v>14.065881299231597</v>
      </c>
      <c r="K173" s="133" t="s">
        <v>4</v>
      </c>
      <c r="L173" s="180" t="s">
        <v>281</v>
      </c>
      <c r="M173" s="134">
        <f>Z181</f>
        <v>-195.57255297161382</v>
      </c>
      <c r="N173" s="155"/>
      <c r="O173" s="135">
        <f>AA181</f>
        <v>9.893926251559183</v>
      </c>
      <c r="P173" s="133" t="s">
        <v>4</v>
      </c>
      <c r="Q173" s="23" t="s">
        <v>309</v>
      </c>
    </row>
    <row r="174" spans="1:29" ht="12.75">
      <c r="A174" s="99"/>
      <c r="B174" s="220" t="s">
        <v>116</v>
      </c>
      <c r="C174" s="220" t="s">
        <v>117</v>
      </c>
      <c r="D174" s="220" t="s">
        <v>118</v>
      </c>
      <c r="E174" s="220" t="s">
        <v>119</v>
      </c>
      <c r="F174" s="99"/>
      <c r="G174" s="84"/>
      <c r="H174" s="86"/>
      <c r="I174" s="86"/>
      <c r="J174" s="86"/>
      <c r="K174" s="86"/>
      <c r="L174" s="86"/>
      <c r="M174" s="157"/>
      <c r="N174" s="86"/>
      <c r="O174" s="86"/>
      <c r="P174" s="87"/>
      <c r="Q174" s="203" t="s">
        <v>194</v>
      </c>
      <c r="R174" s="203" t="s">
        <v>195</v>
      </c>
      <c r="S174" s="203" t="s">
        <v>196</v>
      </c>
      <c r="T174" s="203" t="s">
        <v>197</v>
      </c>
      <c r="U174" s="30">
        <f>SQRT(SUMSQ(Q175,R175))</f>
        <v>76.5977153706297</v>
      </c>
      <c r="V174" s="30">
        <f>SQRT(SUMSQ(S175,T175))</f>
        <v>113.45712846709985</v>
      </c>
      <c r="W174" s="205">
        <f>SQRT(PRODUCT(U174,V174))</f>
        <v>93.22315609917894</v>
      </c>
      <c r="Z174" s="41" t="s">
        <v>209</v>
      </c>
      <c r="AA174" s="41" t="s">
        <v>210</v>
      </c>
      <c r="AB174" s="41" t="s">
        <v>208</v>
      </c>
      <c r="AC174" s="41" t="s">
        <v>211</v>
      </c>
    </row>
    <row r="175" spans="1:29" ht="12.75">
      <c r="A175" s="99"/>
      <c r="B175" s="231">
        <f>B119-C119</f>
        <v>0</v>
      </c>
      <c r="C175" s="231">
        <f>D119-C119</f>
        <v>140</v>
      </c>
      <c r="D175" s="231">
        <f>E119-C119</f>
        <v>0</v>
      </c>
      <c r="E175" s="231">
        <f>F119-C119</f>
        <v>-140</v>
      </c>
      <c r="F175" s="38"/>
      <c r="G175" s="84"/>
      <c r="H175" s="186" t="s">
        <v>213</v>
      </c>
      <c r="I175" s="187"/>
      <c r="J175" s="187"/>
      <c r="K175" s="187"/>
      <c r="L175" s="187"/>
      <c r="M175" s="188"/>
      <c r="N175" s="187"/>
      <c r="O175" s="187"/>
      <c r="P175" s="156"/>
      <c r="Q175" s="23">
        <f>SUM(C85-E13)</f>
        <v>-76.4</v>
      </c>
      <c r="R175">
        <f>SUM(C87-E15)</f>
        <v>-5.500000000000002</v>
      </c>
      <c r="S175" s="23">
        <f>SUM(C85-C13)</f>
        <v>-113.4</v>
      </c>
      <c r="T175">
        <f>SUM(C87-C15)</f>
        <v>-3.6000000000000014</v>
      </c>
      <c r="U175" s="30">
        <f>DEGREES(ATAN2(Q175,R175))</f>
        <v>-175.88240715813436</v>
      </c>
      <c r="V175" s="30">
        <f>DEGREES(ATAN2(S175,T175))</f>
        <v>-178.18169703554818</v>
      </c>
      <c r="W175" s="30">
        <f>PRODUCT(SUM(U175,V175),0.5)</f>
        <v>-177.03205209684126</v>
      </c>
      <c r="X175" s="30">
        <f>PRODUCT(W174,COS(RADIANS(W175)))</f>
        <v>-93.09811177755402</v>
      </c>
      <c r="Y175" s="30">
        <f>PRODUCT(W174,SIN(RADIANS(W175)))</f>
        <v>-4.826843331406276</v>
      </c>
      <c r="Z175" s="30">
        <f>SUM(-C85,X175)</f>
        <v>-185.198111777554</v>
      </c>
      <c r="AA175" s="30">
        <f>SUM(-C87,Y175)</f>
        <v>16.273156668593725</v>
      </c>
      <c r="AB175" s="30">
        <f>SUM(-C85,-X175)</f>
        <v>0.9981117775540298</v>
      </c>
      <c r="AC175" s="30">
        <f>SUM(-C87,-Y175)</f>
        <v>25.92684333140628</v>
      </c>
    </row>
    <row r="176" spans="1:20" ht="13.5" thickBot="1">
      <c r="A176" s="99"/>
      <c r="B176" s="231">
        <f>IF(B175&gt;359,(B175-360),(B175))</f>
        <v>0</v>
      </c>
      <c r="C176" s="231">
        <f>IF(C175&gt;359,(C175-360),(C175))</f>
        <v>140</v>
      </c>
      <c r="D176" s="231">
        <f>IF(D175&gt;359,(D175-360),(D175))</f>
        <v>0</v>
      </c>
      <c r="E176" s="231">
        <f>IF(E175&gt;359,(E175-360),(E175))</f>
        <v>-140</v>
      </c>
      <c r="F176" s="236" t="s">
        <v>260</v>
      </c>
      <c r="G176" s="84"/>
      <c r="H176" s="86"/>
      <c r="I176" s="86"/>
      <c r="J176" s="86"/>
      <c r="K176" s="86"/>
      <c r="L176" s="86"/>
      <c r="M176" s="157"/>
      <c r="N176" s="86"/>
      <c r="O176" s="86"/>
      <c r="P176" s="156"/>
      <c r="Q176" s="23" t="s">
        <v>310</v>
      </c>
      <c r="T176">
        <f>SUM(C48,-C15)</f>
        <v>0.8000000000000007</v>
      </c>
    </row>
    <row r="177" spans="1:29" ht="14.25" thickBot="1" thickTop="1">
      <c r="A177" s="99"/>
      <c r="B177" s="231">
        <f>IF(B175&lt;-359,(B175+360),(B175))</f>
        <v>0</v>
      </c>
      <c r="C177" s="231">
        <f>IF(C175&lt;-359,(C175+360),(C175))</f>
        <v>140</v>
      </c>
      <c r="D177" s="231">
        <f>IF(D175&lt;-359,(D175+360),(D175))</f>
        <v>0</v>
      </c>
      <c r="E177" s="231">
        <f>IF(E175&lt;-359,(E175+360),(E175))</f>
        <v>-140</v>
      </c>
      <c r="F177" s="236" t="s">
        <v>261</v>
      </c>
      <c r="G177" s="180" t="s">
        <v>279</v>
      </c>
      <c r="H177" s="182">
        <f>AB172</f>
        <v>-169.49134499921954</v>
      </c>
      <c r="I177" s="183"/>
      <c r="J177" s="183">
        <f>AC172</f>
        <v>6.7805699755267135</v>
      </c>
      <c r="K177" s="184" t="s">
        <v>4</v>
      </c>
      <c r="L177" s="180" t="s">
        <v>282</v>
      </c>
      <c r="M177" s="185">
        <f>AB175</f>
        <v>0.9981117775540298</v>
      </c>
      <c r="N177" s="183"/>
      <c r="O177" s="183">
        <f>AC175</f>
        <v>25.92684333140628</v>
      </c>
      <c r="P177" s="184" t="s">
        <v>4</v>
      </c>
      <c r="Q177" s="204" t="s">
        <v>194</v>
      </c>
      <c r="R177" s="204" t="s">
        <v>195</v>
      </c>
      <c r="S177" s="204" t="s">
        <v>196</v>
      </c>
      <c r="T177" s="204" t="s">
        <v>197</v>
      </c>
      <c r="U177" s="248">
        <f>SQRT(SUMSQ(Q178,R178))</f>
        <v>50.50990001969911</v>
      </c>
      <c r="V177" s="248">
        <f>SQRT(SUMSQ(S178,T178))</f>
        <v>95.10483689066503</v>
      </c>
      <c r="W177" s="248">
        <f>SQRT(PRODUCT(U177,V177))</f>
        <v>69.30898789289367</v>
      </c>
      <c r="X177" s="249"/>
      <c r="Y177" s="249"/>
      <c r="Z177" s="204" t="s">
        <v>209</v>
      </c>
      <c r="AA177" s="204" t="s">
        <v>210</v>
      </c>
      <c r="AB177" s="204" t="s">
        <v>208</v>
      </c>
      <c r="AC177" s="204" t="s">
        <v>211</v>
      </c>
    </row>
    <row r="178" spans="1:29" ht="14.25" thickBot="1" thickTop="1">
      <c r="A178" s="99"/>
      <c r="B178" s="99"/>
      <c r="C178" s="99"/>
      <c r="D178" s="99"/>
      <c r="E178" s="99"/>
      <c r="F178" s="99"/>
      <c r="G178" s="140"/>
      <c r="H178" s="98"/>
      <c r="I178" s="98"/>
      <c r="J178" s="98"/>
      <c r="K178" s="98"/>
      <c r="L178" s="98"/>
      <c r="M178" s="98"/>
      <c r="N178" s="98"/>
      <c r="O178" s="98"/>
      <c r="P178" s="87"/>
      <c r="Q178" s="23">
        <f>SUM(D85-E13)</f>
        <v>-48.7</v>
      </c>
      <c r="R178">
        <f>SUM(D87-E15)</f>
        <v>-13.4</v>
      </c>
      <c r="S178" s="23">
        <f>SUM(D85-D13)</f>
        <v>-93.8</v>
      </c>
      <c r="T178">
        <f>SUM(D87-D15)</f>
        <v>-15.7</v>
      </c>
      <c r="U178" s="30">
        <f>DEGREES(ATAN2(Q178,R178))</f>
        <v>-164.6155456712194</v>
      </c>
      <c r="V178" s="30">
        <f>DEGREES(ATAN2(S178,T178))</f>
        <v>-170.4980610103791</v>
      </c>
      <c r="W178" s="30">
        <f>PRODUCT(SUM(U178,V178),0.5)</f>
        <v>-167.55680334079926</v>
      </c>
      <c r="X178" s="30">
        <f>PRODUCT(W177,COS(RADIANS(W178)))</f>
        <v>-67.68092716097084</v>
      </c>
      <c r="Y178" s="30">
        <f>PRODUCT(W177,SIN(RADIANS(W178)))</f>
        <v>-14.934118700768403</v>
      </c>
      <c r="Z178" s="30">
        <f>SUM(-D85,X178)</f>
        <v>-187.48092716097085</v>
      </c>
      <c r="AA178" s="30">
        <f>SUM(-D87,Y178)</f>
        <v>14.065881299231597</v>
      </c>
      <c r="AB178" s="30">
        <f>SUM(-D85,-X178)</f>
        <v>-52.11907283902916</v>
      </c>
      <c r="AC178" s="30">
        <f>SUM(-D87,-Y178)</f>
        <v>43.9341187007684</v>
      </c>
    </row>
    <row r="179" spans="1:17" ht="14.25" thickBot="1" thickTop="1">
      <c r="A179" s="217" t="s">
        <v>249</v>
      </c>
      <c r="B179" s="218"/>
      <c r="C179" s="219"/>
      <c r="D179" s="219"/>
      <c r="E179" s="219"/>
      <c r="F179" s="219"/>
      <c r="G179" s="180" t="s">
        <v>280</v>
      </c>
      <c r="H179" s="182">
        <f>AB178</f>
        <v>-52.11907283902916</v>
      </c>
      <c r="I179" s="183"/>
      <c r="J179" s="183">
        <f>AC178</f>
        <v>43.9341187007684</v>
      </c>
      <c r="K179" s="184" t="s">
        <v>4</v>
      </c>
      <c r="L179" s="180" t="s">
        <v>281</v>
      </c>
      <c r="M179" s="182">
        <f>AB181</f>
        <v>51.17255297161381</v>
      </c>
      <c r="N179" s="183"/>
      <c r="O179" s="183">
        <f>AC181</f>
        <v>-49.89392625155918</v>
      </c>
      <c r="P179" s="184" t="s">
        <v>4</v>
      </c>
      <c r="Q179" t="s">
        <v>311</v>
      </c>
    </row>
    <row r="180" spans="1:29" ht="12.75">
      <c r="A180" s="149" t="s">
        <v>370</v>
      </c>
      <c r="B180" s="216" t="e">
        <f>C171*COS(RADIANS(C172))</f>
        <v>#DIV/0!</v>
      </c>
      <c r="C180" s="216" t="e">
        <f>C171*SIN(RADIANS(C172))</f>
        <v>#DIV/0!</v>
      </c>
      <c r="D180" s="153" t="s">
        <v>371</v>
      </c>
      <c r="E180" s="216" t="e">
        <f>D171*COS(RADIANS(D172))</f>
        <v>#DIV/0!</v>
      </c>
      <c r="F180" s="216" t="e">
        <f>D171*SIN(RADIANS(D172))</f>
        <v>#DIV/0!</v>
      </c>
      <c r="G180" s="84"/>
      <c r="H180" s="86"/>
      <c r="I180" s="86"/>
      <c r="J180" s="86"/>
      <c r="K180" s="86"/>
      <c r="L180" s="86"/>
      <c r="M180" s="86"/>
      <c r="N180" s="86"/>
      <c r="O180" s="86"/>
      <c r="P180" s="87"/>
      <c r="Q180" s="204" t="s">
        <v>194</v>
      </c>
      <c r="R180" s="204" t="s">
        <v>195</v>
      </c>
      <c r="S180" s="204" t="s">
        <v>196</v>
      </c>
      <c r="T180" s="204" t="s">
        <v>197</v>
      </c>
      <c r="U180" s="248">
        <f>SQRT(SUMSQ(Q181,R181))</f>
        <v>102.66961575850958</v>
      </c>
      <c r="V180" s="248">
        <f>SQRT(SUMSQ(S181,T181))</f>
        <v>156.9542608532817</v>
      </c>
      <c r="W180" s="248">
        <f>SQRT(PRODUCT(U180,V180))</f>
        <v>126.94263922523163</v>
      </c>
      <c r="X180" s="249"/>
      <c r="Y180" s="249"/>
      <c r="Z180" s="204" t="s">
        <v>209</v>
      </c>
      <c r="AA180" s="204" t="s">
        <v>210</v>
      </c>
      <c r="AB180" s="204" t="s">
        <v>208</v>
      </c>
      <c r="AC180" s="204" t="s">
        <v>211</v>
      </c>
    </row>
    <row r="181" spans="1:29" ht="13.5" thickBot="1">
      <c r="A181" s="149" t="s">
        <v>372</v>
      </c>
      <c r="B181" s="216" t="e">
        <f>E171*COS(RADIANS(E172))</f>
        <v>#DIV/0!</v>
      </c>
      <c r="C181" s="216" t="e">
        <f>E171*SIN(RADIANS(E172))</f>
        <v>#DIV/0!</v>
      </c>
      <c r="D181" s="153" t="s">
        <v>373</v>
      </c>
      <c r="E181" s="216" t="e">
        <f>F171*COS(RADIANS(F172))</f>
        <v>#DIV/0!</v>
      </c>
      <c r="F181" s="216" t="e">
        <f>F171*SIN(RADIANS(F172))</f>
        <v>#DIV/0!</v>
      </c>
      <c r="G181" s="263" t="s">
        <v>221</v>
      </c>
      <c r="H181" s="261"/>
      <c r="I181" s="261"/>
      <c r="J181" s="261"/>
      <c r="K181" s="261"/>
      <c r="L181" s="261"/>
      <c r="M181" s="261"/>
      <c r="N181" s="261"/>
      <c r="O181" s="261"/>
      <c r="P181" s="262"/>
      <c r="Q181" s="23">
        <f>SUM(E85-E13)</f>
        <v>-96.3</v>
      </c>
      <c r="R181">
        <f>SUM(E87-E15)</f>
        <v>35.6</v>
      </c>
      <c r="S181" s="23">
        <f>SUM(E85-F13)</f>
        <v>-155.8</v>
      </c>
      <c r="T181">
        <f>SUM(E87-F15)</f>
        <v>19</v>
      </c>
      <c r="U181" s="30">
        <f>DEGREES(ATAN2(Q181,R181))</f>
        <v>159.71175116139872</v>
      </c>
      <c r="V181" s="30">
        <f>DEGREES(ATAN2(S181,T181))</f>
        <v>173.04704253182607</v>
      </c>
      <c r="W181" s="30">
        <f>PRODUCT(SUM(U181,V181),0.5)</f>
        <v>166.3793968466124</v>
      </c>
      <c r="X181" s="30">
        <f>PRODUCT(W180,COS(RADIANS(W181)))</f>
        <v>-123.37255297161381</v>
      </c>
      <c r="Y181" s="30">
        <f>PRODUCT(W180,SIN(RADIANS(W181)))</f>
        <v>29.893926251559183</v>
      </c>
      <c r="Z181" s="30">
        <f>SUM(-E85,X181)</f>
        <v>-195.57255297161382</v>
      </c>
      <c r="AA181" s="30">
        <f>SUM(-E87,Y181)</f>
        <v>9.893926251559183</v>
      </c>
      <c r="AB181" s="30">
        <f>SUM(-E85,-X181)</f>
        <v>51.17255297161381</v>
      </c>
      <c r="AC181" s="30">
        <f>SUM(-E87,-Y181)</f>
        <v>-49.89392625155918</v>
      </c>
    </row>
    <row r="182" spans="7:29" ht="14.25" thickBot="1" thickTop="1">
      <c r="G182" s="120"/>
      <c r="H182" s="120"/>
      <c r="I182" s="237"/>
      <c r="J182" s="238"/>
      <c r="K182" s="238"/>
      <c r="L182" s="238"/>
      <c r="M182" s="239"/>
      <c r="N182" s="120"/>
      <c r="O182" s="120"/>
      <c r="P182" s="120"/>
      <c r="Q182" s="259"/>
      <c r="R182" s="260"/>
      <c r="S182" s="260"/>
      <c r="T182" s="260"/>
      <c r="U182" s="260"/>
      <c r="V182" s="260"/>
      <c r="W182" s="260"/>
      <c r="X182" s="260"/>
      <c r="Y182" s="260"/>
      <c r="Z182" s="260"/>
      <c r="AA182" s="260"/>
      <c r="AB182" s="260"/>
      <c r="AC182" s="260"/>
    </row>
    <row r="183" spans="2:16" ht="16.5" thickBot="1" thickTop="1">
      <c r="B183" s="224" t="s">
        <v>250</v>
      </c>
      <c r="C183" s="222"/>
      <c r="D183" s="222"/>
      <c r="G183" s="120"/>
      <c r="H183" s="120"/>
      <c r="I183" s="246" t="s">
        <v>264</v>
      </c>
      <c r="J183" s="244"/>
      <c r="K183" s="244"/>
      <c r="L183" s="244"/>
      <c r="M183" s="245"/>
      <c r="N183" s="120"/>
      <c r="O183" s="120"/>
      <c r="P183" s="120"/>
    </row>
    <row r="184" spans="2:20" ht="13.5" thickBot="1">
      <c r="B184" s="223" t="s">
        <v>257</v>
      </c>
      <c r="C184" s="225" t="e">
        <f>SUM(C13,B180,E180,B181,E181)</f>
        <v>#DIV/0!</v>
      </c>
      <c r="D184" s="225" t="e">
        <f>SUM(C15,C180,F180,C181,F181)</f>
        <v>#DIV/0!</v>
      </c>
      <c r="G184" s="120"/>
      <c r="H184" s="120"/>
      <c r="I184" s="243"/>
      <c r="J184" s="244"/>
      <c r="K184" s="244"/>
      <c r="L184" s="244"/>
      <c r="M184" s="245"/>
      <c r="N184" s="120"/>
      <c r="O184" s="120"/>
      <c r="P184" s="120"/>
      <c r="Q184" s="268" t="s">
        <v>414</v>
      </c>
      <c r="R184" s="269"/>
      <c r="S184" s="269"/>
      <c r="T184" s="269"/>
    </row>
    <row r="185" spans="7:26" ht="13.5" thickTop="1">
      <c r="G185" s="197" t="s">
        <v>156</v>
      </c>
      <c r="H185" s="191"/>
      <c r="I185" s="191"/>
      <c r="J185" s="191"/>
      <c r="K185" s="191"/>
      <c r="L185" s="191"/>
      <c r="M185" s="191"/>
      <c r="N185" s="191"/>
      <c r="O185" s="191"/>
      <c r="P185" s="137"/>
      <c r="Q185" s="3" t="s">
        <v>293</v>
      </c>
      <c r="W185" s="165" t="s">
        <v>142</v>
      </c>
      <c r="X185" s="166"/>
      <c r="Y185" s="158" t="s">
        <v>332</v>
      </c>
      <c r="Z185" s="159"/>
    </row>
    <row r="186" spans="1:26" ht="13.5" thickBot="1">
      <c r="A186" t="s">
        <v>367</v>
      </c>
      <c r="G186" s="198" t="s">
        <v>157</v>
      </c>
      <c r="H186" s="171"/>
      <c r="I186" s="196"/>
      <c r="J186" s="190"/>
      <c r="K186" s="190"/>
      <c r="L186" s="190"/>
      <c r="M186" s="190"/>
      <c r="N186" s="190"/>
      <c r="O186" s="190"/>
      <c r="P186" s="192"/>
      <c r="Q186" s="3" t="s">
        <v>326</v>
      </c>
      <c r="W186" s="169" t="s">
        <v>331</v>
      </c>
      <c r="X186" s="167"/>
      <c r="Y186" s="161" t="s">
        <v>138</v>
      </c>
      <c r="Z186" s="162" t="s">
        <v>138</v>
      </c>
    </row>
    <row r="187" spans="7:26" ht="14.25" thickBot="1" thickTop="1">
      <c r="G187" s="140"/>
      <c r="H187" s="141" t="s">
        <v>140</v>
      </c>
      <c r="I187" s="142"/>
      <c r="J187" s="143"/>
      <c r="K187" s="143"/>
      <c r="L187" s="143"/>
      <c r="M187" s="143"/>
      <c r="N187" s="143"/>
      <c r="O187" s="144"/>
      <c r="P187" s="87"/>
      <c r="Q187" t="s">
        <v>438</v>
      </c>
      <c r="R187" t="s">
        <v>327</v>
      </c>
      <c r="T187" t="s">
        <v>328</v>
      </c>
      <c r="U187" t="s">
        <v>329</v>
      </c>
      <c r="V187" t="s">
        <v>330</v>
      </c>
      <c r="W187" s="160" t="s">
        <v>143</v>
      </c>
      <c r="X187" s="168" t="s">
        <v>9</v>
      </c>
      <c r="Y187" s="163" t="s">
        <v>333</v>
      </c>
      <c r="Z187" s="164" t="s">
        <v>334</v>
      </c>
    </row>
    <row r="188" spans="1:26" ht="14.25" thickBot="1" thickTop="1">
      <c r="A188" s="120"/>
      <c r="B188" s="232" t="s">
        <v>321</v>
      </c>
      <c r="C188" s="233"/>
      <c r="D188" s="234"/>
      <c r="E188" s="120"/>
      <c r="F188" s="120"/>
      <c r="G188" s="84"/>
      <c r="H188" s="86"/>
      <c r="I188" s="86"/>
      <c r="J188" s="86"/>
      <c r="K188" s="86"/>
      <c r="L188" s="86"/>
      <c r="M188" s="86"/>
      <c r="N188" s="86"/>
      <c r="O188" s="86"/>
      <c r="P188" s="87"/>
      <c r="Q188" s="146" t="s">
        <v>283</v>
      </c>
      <c r="R188" s="71">
        <f>R196*COS(RADIANS(S196))</f>
        <v>60.14223683047987</v>
      </c>
      <c r="S188" s="72"/>
      <c r="T188" s="73">
        <f>R196*SIN(RADIANS(S196))</f>
        <v>11.09453248107061</v>
      </c>
      <c r="U188" s="30">
        <f>F13-B53</f>
        <v>20.69999999999999</v>
      </c>
      <c r="V188" s="30">
        <f>F15-B55</f>
        <v>7.6</v>
      </c>
      <c r="W188" s="30">
        <f>SQRT(SUMSQ(U188,V188))</f>
        <v>22.051077071199934</v>
      </c>
      <c r="X188" s="65">
        <f>DEGREES(ATAN2(U188,V188))</f>
        <v>20.160698450693857</v>
      </c>
      <c r="Y188" s="30">
        <f>SQRT(SUMSQ(B13,B15))</f>
        <v>169.61426826773743</v>
      </c>
      <c r="Z188" s="65">
        <f>DEGREES(ATAN2(B13,B15))</f>
        <v>0.7431818730541038</v>
      </c>
    </row>
    <row r="189" spans="1:26" ht="13.5" thickBot="1">
      <c r="A189" s="120"/>
      <c r="B189" s="255"/>
      <c r="C189" s="255"/>
      <c r="D189" s="255"/>
      <c r="E189" s="120"/>
      <c r="F189" s="120"/>
      <c r="G189" s="89"/>
      <c r="H189" s="189" t="s">
        <v>148</v>
      </c>
      <c r="I189" s="190"/>
      <c r="J189" s="190"/>
      <c r="K189" s="190"/>
      <c r="L189" s="190"/>
      <c r="M189" s="190"/>
      <c r="N189" s="190"/>
      <c r="O189" s="190"/>
      <c r="P189" s="87"/>
      <c r="Q189" s="147" t="s">
        <v>285</v>
      </c>
      <c r="R189" s="68">
        <f>R197*COS(RADIANS(S197))</f>
        <v>68.10430888745766</v>
      </c>
      <c r="S189" s="70"/>
      <c r="T189" s="74">
        <f>R197*SIN(RADIANS(S197))</f>
        <v>7.622131528532395</v>
      </c>
      <c r="U189" s="30">
        <f>F13-C53</f>
        <v>21.69999999999999</v>
      </c>
      <c r="V189" s="30">
        <f>F15-C55</f>
        <v>6.9</v>
      </c>
      <c r="W189" s="30">
        <f>SQRT(SUMSQ(U189,V189))</f>
        <v>22.77059507347139</v>
      </c>
      <c r="X189" s="30">
        <f>DEGREES(ATAN2(U189,V189))</f>
        <v>17.639225270182745</v>
      </c>
      <c r="Y189" s="30">
        <f>SQRT(SUMSQ(C13,C15))</f>
        <v>206.24378778523246</v>
      </c>
      <c r="Z189" s="65">
        <f>DEGREES(ATAN2(C13,C15))</f>
        <v>-4.867459176387376</v>
      </c>
    </row>
    <row r="190" spans="1:26" ht="13.5" thickBot="1">
      <c r="A190" s="227" t="s">
        <v>400</v>
      </c>
      <c r="B190" s="210"/>
      <c r="C190" s="210"/>
      <c r="D190" s="210"/>
      <c r="E190" s="211"/>
      <c r="F190" s="212"/>
      <c r="G190" s="89"/>
      <c r="H190" s="85"/>
      <c r="I190" s="86"/>
      <c r="J190" s="86"/>
      <c r="K190" s="86"/>
      <c r="L190" s="86"/>
      <c r="M190" s="86"/>
      <c r="N190" s="86"/>
      <c r="O190" s="86"/>
      <c r="P190" s="87"/>
      <c r="Q190" s="147" t="s">
        <v>284</v>
      </c>
      <c r="R190" s="68">
        <f>R198*COS(RADIANS(S198))</f>
        <v>17.190339383624163</v>
      </c>
      <c r="S190" s="69"/>
      <c r="T190" s="74">
        <f>R198*SIN(RADIANS(S198))</f>
        <v>16.153258746277174</v>
      </c>
      <c r="U190" s="30">
        <f>F13-D53</f>
        <v>0</v>
      </c>
      <c r="V190" s="30">
        <f>F15-D55</f>
        <v>2.6</v>
      </c>
      <c r="W190" s="30">
        <f>SQRT(SUMSQ(U190,V190))</f>
        <v>2.6</v>
      </c>
      <c r="X190" s="65">
        <f>DEGREES(ATAN2(U190,V190))</f>
        <v>90</v>
      </c>
      <c r="Y190" s="30">
        <f>SQRT(SUMSQ(D13,D15))</f>
        <v>214.01366778783077</v>
      </c>
      <c r="Z190" s="65">
        <f>DEGREES(ATAN2(D13,D15))</f>
        <v>-3.56297443364676</v>
      </c>
    </row>
    <row r="191" spans="1:26" ht="16.5" thickBot="1" thickTop="1">
      <c r="A191" s="227" t="s">
        <v>252</v>
      </c>
      <c r="B191" s="210"/>
      <c r="C191" s="226"/>
      <c r="D191" s="210"/>
      <c r="E191" s="211"/>
      <c r="F191" s="212"/>
      <c r="G191" s="90" t="s">
        <v>283</v>
      </c>
      <c r="H191" s="131">
        <f>R188</f>
        <v>60.14223683047987</v>
      </c>
      <c r="I191" s="154" t="str">
        <f>IF(T188&gt;0,"+","-")</f>
        <v>+</v>
      </c>
      <c r="J191" s="132">
        <f>ABS(T188)</f>
        <v>11.09453248107061</v>
      </c>
      <c r="K191" s="133" t="s">
        <v>4</v>
      </c>
      <c r="L191" s="91" t="s">
        <v>285</v>
      </c>
      <c r="M191" s="134">
        <f>R189</f>
        <v>68.10430888745766</v>
      </c>
      <c r="N191" s="154" t="str">
        <f>IF(T189&gt;0,"+","-")</f>
        <v>+</v>
      </c>
      <c r="O191" s="135">
        <f>ABS(T189)</f>
        <v>7.622131528532395</v>
      </c>
      <c r="P191" s="133" t="s">
        <v>4</v>
      </c>
      <c r="Q191" s="148" t="s">
        <v>286</v>
      </c>
      <c r="R191" s="75">
        <f>R199*COS(RADIANS(S199))</f>
        <v>35.282211383415074</v>
      </c>
      <c r="S191" s="76"/>
      <c r="T191" s="77">
        <f>R199*SIN(RADIANS(S199))</f>
        <v>-73.93669210956075</v>
      </c>
      <c r="U191" s="30">
        <f>F13-E53</f>
        <v>-22</v>
      </c>
      <c r="V191" s="30">
        <f>F15-E55</f>
        <v>-33</v>
      </c>
      <c r="W191" s="30">
        <f>SQRT(SUMSQ(U191,V191))</f>
        <v>39.66106403010388</v>
      </c>
      <c r="X191" s="30">
        <f>DEGREES(ATAN2(U191,V191))</f>
        <v>-123.69006752597979</v>
      </c>
      <c r="Y191" s="30">
        <f>SQRT(SUMSQ(E13,E15))</f>
        <v>169.22059567322177</v>
      </c>
      <c r="Z191" s="65">
        <f>DEGREES(ATAN2(E13,E15))</f>
        <v>-5.289456864306534</v>
      </c>
    </row>
    <row r="192" spans="1:20" ht="13.5" thickBot="1" thickTop="1">
      <c r="A192" s="227" t="s">
        <v>253</v>
      </c>
      <c r="B192" s="211"/>
      <c r="C192" s="213"/>
      <c r="D192" s="213"/>
      <c r="E192" s="213"/>
      <c r="F192" s="212"/>
      <c r="G192" s="93"/>
      <c r="H192" s="94"/>
      <c r="I192" s="95"/>
      <c r="J192" s="95"/>
      <c r="K192" s="95"/>
      <c r="L192" s="96"/>
      <c r="M192" s="95"/>
      <c r="N192" s="97"/>
      <c r="O192" s="86"/>
      <c r="P192" s="87"/>
      <c r="Q192" s="127" t="s">
        <v>150</v>
      </c>
      <c r="R192" s="136"/>
      <c r="S192" s="191"/>
      <c r="T192" s="106"/>
    </row>
    <row r="193" spans="1:23" ht="16.5" thickBot="1" thickTop="1">
      <c r="A193" s="214" t="s">
        <v>374</v>
      </c>
      <c r="B193" s="215"/>
      <c r="C193" s="290">
        <v>-2.7</v>
      </c>
      <c r="D193" s="214" t="s">
        <v>375</v>
      </c>
      <c r="E193" s="215"/>
      <c r="F193" s="290">
        <v>-25</v>
      </c>
      <c r="G193" s="90" t="s">
        <v>284</v>
      </c>
      <c r="H193" s="131">
        <f>R190</f>
        <v>17.190339383624163</v>
      </c>
      <c r="I193" s="155" t="str">
        <f>IF(T190&gt;0,"+","-")</f>
        <v>+</v>
      </c>
      <c r="J193" s="135">
        <f>ABS(T190)</f>
        <v>16.153258746277174</v>
      </c>
      <c r="K193" s="133" t="s">
        <v>4</v>
      </c>
      <c r="L193" s="91" t="s">
        <v>286</v>
      </c>
      <c r="M193" s="134">
        <f>R191</f>
        <v>35.282211383415074</v>
      </c>
      <c r="N193" s="155" t="str">
        <f>IF(T191&gt;0,"+","-")</f>
        <v>-</v>
      </c>
      <c r="O193" s="135">
        <f>ABS(T191)</f>
        <v>73.93669210956075</v>
      </c>
      <c r="P193" s="133" t="s">
        <v>4</v>
      </c>
      <c r="Q193" s="145" t="s">
        <v>151</v>
      </c>
      <c r="R193" s="128"/>
      <c r="S193" s="105"/>
      <c r="T193" s="192"/>
      <c r="W193" t="s">
        <v>3</v>
      </c>
    </row>
    <row r="194" spans="1:20" ht="14.25" thickBot="1" thickTop="1">
      <c r="A194" s="214" t="s">
        <v>377</v>
      </c>
      <c r="B194" s="215"/>
      <c r="C194" s="290">
        <v>50</v>
      </c>
      <c r="D194" s="214" t="s">
        <v>376</v>
      </c>
      <c r="E194" s="215"/>
      <c r="F194" s="290">
        <v>-51.1</v>
      </c>
      <c r="G194" s="84"/>
      <c r="H194" s="86"/>
      <c r="I194" s="86"/>
      <c r="J194" s="86"/>
      <c r="K194" s="86"/>
      <c r="L194" s="86"/>
      <c r="M194" s="98"/>
      <c r="N194" s="86"/>
      <c r="O194" s="86"/>
      <c r="P194" s="87"/>
      <c r="Q194" t="s">
        <v>3</v>
      </c>
      <c r="R194" s="138" t="s">
        <v>14</v>
      </c>
      <c r="S194" s="195" t="s">
        <v>146</v>
      </c>
      <c r="T194" s="172" t="s">
        <v>147</v>
      </c>
    </row>
    <row r="195" spans="1:20" ht="13.5" thickBot="1">
      <c r="A195" s="214" t="s">
        <v>382</v>
      </c>
      <c r="B195" s="215"/>
      <c r="C195" s="290">
        <v>52.8</v>
      </c>
      <c r="D195" s="214" t="s">
        <v>378</v>
      </c>
      <c r="E195" s="215"/>
      <c r="F195" s="290">
        <v>-36.5</v>
      </c>
      <c r="G195" s="84"/>
      <c r="H195" s="186" t="s">
        <v>149</v>
      </c>
      <c r="I195" s="187"/>
      <c r="J195" s="187"/>
      <c r="K195" s="187"/>
      <c r="L195" s="187"/>
      <c r="M195" s="188"/>
      <c r="N195" s="187"/>
      <c r="O195" s="187"/>
      <c r="P195" s="156"/>
      <c r="R195" s="139" t="s">
        <v>344</v>
      </c>
      <c r="S195" s="193" t="s">
        <v>343</v>
      </c>
      <c r="T195" s="194"/>
    </row>
    <row r="196" spans="1:20" ht="14.25" thickBot="1" thickTop="1">
      <c r="A196" s="214" t="s">
        <v>384</v>
      </c>
      <c r="B196" s="215"/>
      <c r="C196" s="290">
        <v>-17</v>
      </c>
      <c r="D196" s="214" t="s">
        <v>383</v>
      </c>
      <c r="E196" s="215"/>
      <c r="F196" s="290">
        <v>-17.5</v>
      </c>
      <c r="G196" s="84"/>
      <c r="H196" s="86"/>
      <c r="I196" s="86"/>
      <c r="J196" s="86"/>
      <c r="K196" s="86"/>
      <c r="L196" s="86"/>
      <c r="M196" s="157"/>
      <c r="N196" s="86"/>
      <c r="O196" s="86"/>
      <c r="P196" s="156"/>
      <c r="Q196" s="129" t="s">
        <v>283</v>
      </c>
      <c r="R196" s="173">
        <f>SQRT(PRODUCT(Y188,W188))</f>
        <v>61.156988986926585</v>
      </c>
      <c r="S196" s="175">
        <f>PRODUCT(SUM(X188,Z188),0.5)</f>
        <v>10.451940161873981</v>
      </c>
      <c r="T196" s="316">
        <f>SUM(S196,-180)</f>
        <v>-169.54805983812602</v>
      </c>
    </row>
    <row r="197" spans="7:20" ht="14.25" thickBot="1" thickTop="1">
      <c r="G197" s="180" t="s">
        <v>283</v>
      </c>
      <c r="H197" s="182">
        <f>PRODUCT(R188,-1)</f>
        <v>-60.14223683047987</v>
      </c>
      <c r="I197" s="183"/>
      <c r="J197" s="183">
        <f>PRODUCT(T188,-1)</f>
        <v>-11.09453248107061</v>
      </c>
      <c r="K197" s="184" t="s">
        <v>4</v>
      </c>
      <c r="L197" s="181" t="s">
        <v>285</v>
      </c>
      <c r="M197" s="185">
        <f>PRODUCT(R189,-1)</f>
        <v>-68.10430888745766</v>
      </c>
      <c r="N197" s="183"/>
      <c r="O197" s="183">
        <f>PRODUCT(T189,-1)</f>
        <v>-7.622131528532395</v>
      </c>
      <c r="P197" s="184" t="s">
        <v>4</v>
      </c>
      <c r="Q197" s="125" t="s">
        <v>285</v>
      </c>
      <c r="R197" s="123">
        <f>SQRT(PRODUCT(Y189,W189))</f>
        <v>68.52951027168145</v>
      </c>
      <c r="S197" s="176">
        <f>PRODUCT(SUM(X189,Z189),0.5)</f>
        <v>6.385883046897685</v>
      </c>
      <c r="T197" s="174">
        <f>SUM(S197,-180)</f>
        <v>-173.61411695310233</v>
      </c>
    </row>
    <row r="198" spans="7:20" ht="14.25" thickBot="1" thickTop="1">
      <c r="G198" s="140"/>
      <c r="H198" s="98"/>
      <c r="I198" s="98"/>
      <c r="J198" s="98"/>
      <c r="K198" s="98"/>
      <c r="L198" s="98"/>
      <c r="M198" s="98"/>
      <c r="N198" s="98"/>
      <c r="O198" s="98"/>
      <c r="P198" s="87"/>
      <c r="Q198" s="130" t="s">
        <v>284</v>
      </c>
      <c r="R198" s="123">
        <f>SQRT(PRODUCT(Y190,W190))</f>
        <v>23.58888586280327</v>
      </c>
      <c r="S198" s="176">
        <f>PRODUCT(SUM(X190,Z190),0.5)</f>
        <v>43.21851278317662</v>
      </c>
      <c r="T198" s="174">
        <f>SUM(S198,-180)</f>
        <v>-136.7814872168234</v>
      </c>
    </row>
    <row r="199" spans="1:20" ht="14.25" thickBot="1" thickTop="1">
      <c r="A199" s="99"/>
      <c r="B199" s="251"/>
      <c r="C199" s="251"/>
      <c r="D199" s="251"/>
      <c r="E199" s="99"/>
      <c r="F199" s="99"/>
      <c r="G199" s="180" t="s">
        <v>284</v>
      </c>
      <c r="H199" s="182">
        <f>PRODUCT(R190,-1)</f>
        <v>-17.190339383624163</v>
      </c>
      <c r="I199" s="183"/>
      <c r="J199" s="183">
        <f>PRODUCT(T190,-1)</f>
        <v>-16.153258746277174</v>
      </c>
      <c r="K199" s="184" t="s">
        <v>4</v>
      </c>
      <c r="L199" s="181" t="s">
        <v>286</v>
      </c>
      <c r="M199" s="182">
        <f>PRODUCT(R191,-1)</f>
        <v>-35.282211383415074</v>
      </c>
      <c r="N199" s="183"/>
      <c r="O199" s="183">
        <f>PRODUCT(T191,-1)</f>
        <v>73.93669210956075</v>
      </c>
      <c r="P199" s="184" t="s">
        <v>4</v>
      </c>
      <c r="Q199" s="126" t="s">
        <v>286</v>
      </c>
      <c r="R199" s="124">
        <f>SQRT(PRODUCT(Y191,W191))</f>
        <v>81.92355509990986</v>
      </c>
      <c r="S199" s="177">
        <f>PRODUCT(SUM(X191,Z191),0.5)</f>
        <v>-64.48976219514316</v>
      </c>
      <c r="T199" s="174">
        <f>SUM(S199,-180)</f>
        <v>-244.48976219514316</v>
      </c>
    </row>
    <row r="200" spans="1:16" ht="13.5" thickTop="1">
      <c r="A200" s="209" t="s">
        <v>357</v>
      </c>
      <c r="B200" s="99"/>
      <c r="C200" s="99"/>
      <c r="D200" s="99"/>
      <c r="E200" s="99"/>
      <c r="F200" s="99"/>
      <c r="G200" s="180"/>
      <c r="H200" s="92"/>
      <c r="I200" s="92"/>
      <c r="J200" s="92"/>
      <c r="K200" s="98"/>
      <c r="L200" s="181"/>
      <c r="M200" s="92"/>
      <c r="N200" s="92"/>
      <c r="O200" s="92"/>
      <c r="P200" s="156"/>
    </row>
    <row r="201" spans="1:16" ht="13.5" thickBot="1">
      <c r="A201" s="99"/>
      <c r="B201" s="150" t="s">
        <v>120</v>
      </c>
      <c r="C201" s="221" t="s">
        <v>121</v>
      </c>
      <c r="D201" s="221" t="s">
        <v>122</v>
      </c>
      <c r="E201" s="221" t="s">
        <v>123</v>
      </c>
      <c r="F201" s="221" t="s">
        <v>124</v>
      </c>
      <c r="G201" s="84" t="s">
        <v>221</v>
      </c>
      <c r="H201" s="86"/>
      <c r="I201" s="86"/>
      <c r="J201" s="86"/>
      <c r="K201" s="86"/>
      <c r="L201" s="86"/>
      <c r="M201" s="86"/>
      <c r="N201" s="86"/>
      <c r="O201" s="86"/>
      <c r="P201" s="87"/>
    </row>
    <row r="202" spans="1:20" ht="13.5" thickTop="1">
      <c r="A202" s="149" t="s">
        <v>133</v>
      </c>
      <c r="B202" s="150"/>
      <c r="C202" s="152">
        <f>B117/D117</f>
        <v>0</v>
      </c>
      <c r="D202" s="152">
        <f>C117/D117</f>
        <v>0</v>
      </c>
      <c r="E202" s="152">
        <f>E117/D117</f>
        <v>1.6666666666666667</v>
      </c>
      <c r="F202" s="152">
        <f>F117/D117</f>
        <v>0.8333333333333334</v>
      </c>
      <c r="G202" s="197" t="s">
        <v>156</v>
      </c>
      <c r="H202" s="191"/>
      <c r="I202" s="191"/>
      <c r="J202" s="191"/>
      <c r="K202" s="191"/>
      <c r="L202" s="191"/>
      <c r="M202" s="191"/>
      <c r="N202" s="191"/>
      <c r="O202" s="191"/>
      <c r="P202" s="137"/>
      <c r="Q202" s="270" t="s">
        <v>415</v>
      </c>
      <c r="R202" s="271"/>
      <c r="S202" s="271"/>
      <c r="T202" s="271"/>
    </row>
    <row r="203" spans="1:16" ht="13.5" thickBot="1">
      <c r="A203" s="149" t="s">
        <v>134</v>
      </c>
      <c r="B203" s="150" t="s">
        <v>135</v>
      </c>
      <c r="C203" s="228">
        <f>IF(B208&lt;0,B210,B209)</f>
        <v>-140</v>
      </c>
      <c r="D203" s="228">
        <f>IF(C208&lt;0,C210,C209)</f>
        <v>-140</v>
      </c>
      <c r="E203" s="228">
        <f>IF(D208&lt;0,D210,D209)</f>
        <v>-140</v>
      </c>
      <c r="F203" s="228">
        <f>IF(E208&lt;0,E210,E209)</f>
        <v>-280</v>
      </c>
      <c r="G203" s="198" t="s">
        <v>158</v>
      </c>
      <c r="H203" s="171"/>
      <c r="I203" s="196"/>
      <c r="J203" s="190"/>
      <c r="K203" s="190"/>
      <c r="L203" s="190"/>
      <c r="M203" s="190"/>
      <c r="N203" s="190"/>
      <c r="O203" s="190"/>
      <c r="P203" s="192"/>
    </row>
    <row r="204" spans="1:17" ht="14.25" thickBot="1" thickTop="1">
      <c r="A204" s="149" t="s">
        <v>139</v>
      </c>
      <c r="B204" s="150" t="s">
        <v>136</v>
      </c>
      <c r="C204" s="151">
        <f>PRODUCT(C202,SQRT(SUMSQ(C193,F193)))</f>
        <v>0</v>
      </c>
      <c r="D204" s="151">
        <f>PRODUCT(D202,SQRT(SUMSQ(C194,F194)))</f>
        <v>0</v>
      </c>
      <c r="E204" s="151">
        <f>PRODUCT(E202,SQRT(SUMSQ(C195,F195)))</f>
        <v>106.97987868961361</v>
      </c>
      <c r="F204" s="151">
        <f>PRODUCT(F202,SQRT(SUMSQ(C196,F196)))</f>
        <v>20.331454831259755</v>
      </c>
      <c r="G204" s="140"/>
      <c r="H204" s="141" t="s">
        <v>140</v>
      </c>
      <c r="I204" s="142"/>
      <c r="J204" s="143"/>
      <c r="K204" s="143"/>
      <c r="L204" s="143"/>
      <c r="M204" s="143"/>
      <c r="N204" s="143"/>
      <c r="O204" s="144"/>
      <c r="P204" s="87"/>
      <c r="Q204" s="235" t="s">
        <v>193</v>
      </c>
    </row>
    <row r="205" spans="1:16" ht="13.5" thickTop="1">
      <c r="A205" s="149" t="s">
        <v>141</v>
      </c>
      <c r="B205" s="150"/>
      <c r="C205" s="229">
        <f>SUM(C203,DEGREES(ATAN2(C193,F193)))</f>
        <v>-236.1640524428288</v>
      </c>
      <c r="D205" s="229">
        <f>SUM(D203,DEGREES(ATAN2(C194,F194)))</f>
        <v>-185.62337161852986</v>
      </c>
      <c r="E205" s="229">
        <f>SUM(E203,DEGREES(ATAN2(C195,F195)))</f>
        <v>-174.6556353133807</v>
      </c>
      <c r="F205" s="229">
        <f>SUM(F203,DEGREES(ATAN2(C196,F196)))</f>
        <v>-414.169684513742</v>
      </c>
      <c r="G205" s="140"/>
      <c r="H205" s="207"/>
      <c r="I205" s="207"/>
      <c r="J205" s="208"/>
      <c r="K205" s="208"/>
      <c r="L205" s="208"/>
      <c r="M205" s="208"/>
      <c r="N205" s="208"/>
      <c r="O205" s="208"/>
      <c r="P205" s="87"/>
    </row>
    <row r="206" spans="1:24" ht="13.5" thickBot="1">
      <c r="A206" s="99"/>
      <c r="B206" s="217" t="s">
        <v>256</v>
      </c>
      <c r="C206" s="230"/>
      <c r="D206" s="230"/>
      <c r="E206" s="219"/>
      <c r="F206" s="99"/>
      <c r="G206" s="89"/>
      <c r="H206" s="189" t="s">
        <v>212</v>
      </c>
      <c r="I206" s="190"/>
      <c r="J206" s="190"/>
      <c r="K206" s="190"/>
      <c r="L206" s="190"/>
      <c r="M206" s="190"/>
      <c r="N206" s="190"/>
      <c r="O206" s="190"/>
      <c r="P206" s="87"/>
      <c r="Q206" t="s">
        <v>312</v>
      </c>
      <c r="U206" t="s">
        <v>198</v>
      </c>
      <c r="W206" t="s">
        <v>53</v>
      </c>
      <c r="X206" t="s">
        <v>204</v>
      </c>
    </row>
    <row r="207" spans="1:28" ht="12.75" thickBot="1">
      <c r="A207" s="99"/>
      <c r="B207" s="220" t="s">
        <v>121</v>
      </c>
      <c r="C207" s="220" t="s">
        <v>122</v>
      </c>
      <c r="D207" s="220" t="s">
        <v>123</v>
      </c>
      <c r="E207" s="220" t="s">
        <v>124</v>
      </c>
      <c r="F207" s="99"/>
      <c r="G207" s="89"/>
      <c r="H207" s="85"/>
      <c r="I207" s="86"/>
      <c r="J207" s="86"/>
      <c r="K207" s="86"/>
      <c r="L207" s="86"/>
      <c r="M207" s="86"/>
      <c r="N207" s="86"/>
      <c r="O207" s="86"/>
      <c r="P207" s="87"/>
      <c r="Q207" s="203" t="s">
        <v>234</v>
      </c>
      <c r="R207" s="203"/>
      <c r="S207" s="203" t="s">
        <v>235</v>
      </c>
      <c r="T207" s="203"/>
      <c r="U207" s="203" t="s">
        <v>202</v>
      </c>
      <c r="V207" s="203" t="s">
        <v>203</v>
      </c>
      <c r="W207" s="41" t="s">
        <v>200</v>
      </c>
      <c r="X207" s="203" t="s">
        <v>205</v>
      </c>
      <c r="Y207" s="203" t="s">
        <v>206</v>
      </c>
      <c r="Z207" s="204" t="s">
        <v>207</v>
      </c>
      <c r="AA207" s="41"/>
      <c r="AB207" s="204" t="s">
        <v>299</v>
      </c>
    </row>
    <row r="208" spans="1:29" ht="16.5" thickBot="1" thickTop="1">
      <c r="A208" s="99"/>
      <c r="B208" s="231">
        <f>B119-D119</f>
        <v>-140</v>
      </c>
      <c r="C208" s="231">
        <f>C119-D119</f>
        <v>-140</v>
      </c>
      <c r="D208" s="231">
        <f>E119-D119</f>
        <v>-140</v>
      </c>
      <c r="E208" s="231">
        <f>F119-D119</f>
        <v>-280</v>
      </c>
      <c r="F208" s="99"/>
      <c r="G208" s="180" t="s">
        <v>287</v>
      </c>
      <c r="H208" s="131">
        <f>Z209</f>
        <v>-194.89742571138646</v>
      </c>
      <c r="I208" s="154"/>
      <c r="J208" s="132">
        <f>AA209</f>
        <v>-1.9431039069539935</v>
      </c>
      <c r="K208" s="133" t="s">
        <v>4</v>
      </c>
      <c r="L208" s="180" t="s">
        <v>290</v>
      </c>
      <c r="M208" s="134">
        <f>Z212</f>
        <v>19.00389615593278</v>
      </c>
      <c r="N208" s="250"/>
      <c r="O208" s="135">
        <f>AA212</f>
        <v>0.8626156188005574</v>
      </c>
      <c r="P208" s="133" t="s">
        <v>4</v>
      </c>
      <c r="Q208" s="203" t="s">
        <v>194</v>
      </c>
      <c r="R208" s="203" t="s">
        <v>195</v>
      </c>
      <c r="S208" s="203" t="s">
        <v>196</v>
      </c>
      <c r="T208" s="203" t="s">
        <v>197</v>
      </c>
      <c r="U208" s="30">
        <f>SQRT(SUMSQ(Q209,R209))</f>
        <v>139.96606731633207</v>
      </c>
      <c r="V208" s="30">
        <f>SQRT(SUMSQ(S209,T209))</f>
        <v>81.68537200747757</v>
      </c>
      <c r="W208" s="205">
        <f>SQRT(PRODUCT(U208,V208))</f>
        <v>106.9260505076206</v>
      </c>
      <c r="Z208" s="41" t="s">
        <v>209</v>
      </c>
      <c r="AA208" s="41" t="s">
        <v>210</v>
      </c>
      <c r="AB208" s="41" t="s">
        <v>208</v>
      </c>
      <c r="AC208" s="41" t="s">
        <v>211</v>
      </c>
    </row>
    <row r="209" spans="1:29" ht="14.25" thickBot="1" thickTop="1">
      <c r="A209" s="99"/>
      <c r="B209" s="231">
        <f>IF(B208&gt;359,(B208-360),(B208))</f>
        <v>-140</v>
      </c>
      <c r="C209" s="231">
        <f>IF(C208&gt;359,(C208-360),(C208))</f>
        <v>-140</v>
      </c>
      <c r="D209" s="231">
        <f>IF(D208&gt;359,(D208-360),(D208))</f>
        <v>-140</v>
      </c>
      <c r="E209" s="231">
        <f>IF(E208&gt;359,(E208-360),(E208))</f>
        <v>-280</v>
      </c>
      <c r="F209" s="99"/>
      <c r="G209" s="93"/>
      <c r="H209" s="94"/>
      <c r="I209" s="95"/>
      <c r="J209" s="95"/>
      <c r="K209" s="95"/>
      <c r="L209" s="96"/>
      <c r="M209" s="95"/>
      <c r="N209" s="97"/>
      <c r="O209" s="86"/>
      <c r="P209" s="87"/>
      <c r="Q209" s="23">
        <f>SUM(B92-F13)</f>
        <v>-139.9</v>
      </c>
      <c r="R209">
        <f>SUM(B94-F15)</f>
        <v>-4.3</v>
      </c>
      <c r="S209" s="23">
        <f>SUM(B92-B13)</f>
        <v>-81.5</v>
      </c>
      <c r="T209">
        <f>SUM(B94-B15)</f>
        <v>-5.5</v>
      </c>
      <c r="U209" s="30">
        <f>DEGREES(ATAN2(Q209,R209))</f>
        <v>-178.23949741239795</v>
      </c>
      <c r="V209" s="30">
        <f>DEGREES(ATAN2(S209,T209))</f>
        <v>-176.13926737511673</v>
      </c>
      <c r="W209" s="30">
        <f>PRODUCT(SUM(U209,V209),0.5)</f>
        <v>-177.18938239375734</v>
      </c>
      <c r="X209" s="30">
        <f>PRODUCT(W208,COS(RADIANS(W209)))</f>
        <v>-106.79742571138648</v>
      </c>
      <c r="Y209" s="30">
        <f>PRODUCT(W208,SIN(RADIANS(W209)))</f>
        <v>-5.243103906953993</v>
      </c>
      <c r="Z209" s="30">
        <f>SUM(-B92,X209)</f>
        <v>-194.89742571138646</v>
      </c>
      <c r="AA209" s="30">
        <f>SUM(-B94,Y209)</f>
        <v>-1.9431039069539935</v>
      </c>
      <c r="AB209" s="30">
        <f>SUM(-B92,-X209)</f>
        <v>18.697425711386487</v>
      </c>
      <c r="AC209" s="30">
        <f>SUM(-B94,-Y209)</f>
        <v>8.543103906953993</v>
      </c>
    </row>
    <row r="210" spans="1:17" ht="16.5" thickBot="1" thickTop="1">
      <c r="A210" s="99"/>
      <c r="B210" s="231">
        <f>IF(B208&lt;-359,(B208+360),(B208))</f>
        <v>-140</v>
      </c>
      <c r="C210" s="231">
        <f>IF(C208&lt;-359,(C208+360),(C208))</f>
        <v>-140</v>
      </c>
      <c r="D210" s="231">
        <f>IF(D208&lt;-359,(D208+360),(D208))</f>
        <v>-140</v>
      </c>
      <c r="E210" s="231">
        <f>IF(E208&lt;-359,(E208+360),(E208))</f>
        <v>-280</v>
      </c>
      <c r="F210" s="99"/>
      <c r="G210" s="180" t="s">
        <v>288</v>
      </c>
      <c r="H210" s="131">
        <f>Z215</f>
        <v>21.377291616863033</v>
      </c>
      <c r="I210" s="155"/>
      <c r="J210" s="135">
        <f>AA215</f>
        <v>17.42591423401564</v>
      </c>
      <c r="K210" s="133" t="s">
        <v>4</v>
      </c>
      <c r="L210" s="180" t="s">
        <v>289</v>
      </c>
      <c r="M210" s="134">
        <f>Z218</f>
        <v>-195.68427328884422</v>
      </c>
      <c r="N210" s="155"/>
      <c r="O210" s="135">
        <f>AA218</f>
        <v>10.058565001132493</v>
      </c>
      <c r="P210" s="133" t="s">
        <v>4</v>
      </c>
      <c r="Q210" s="23" t="s">
        <v>313</v>
      </c>
    </row>
    <row r="211" spans="1:29" ht="13.5" thickTop="1">
      <c r="A211" s="99"/>
      <c r="B211" s="99"/>
      <c r="C211" s="99"/>
      <c r="D211" s="99"/>
      <c r="E211" s="99"/>
      <c r="F211" s="99"/>
      <c r="G211" s="84"/>
      <c r="H211" s="86"/>
      <c r="I211" s="86"/>
      <c r="J211" s="86"/>
      <c r="K211" s="86"/>
      <c r="L211" s="86"/>
      <c r="M211" s="157"/>
      <c r="N211" s="86"/>
      <c r="O211" s="86"/>
      <c r="P211" s="87"/>
      <c r="Q211" s="203" t="s">
        <v>194</v>
      </c>
      <c r="R211" s="203" t="s">
        <v>195</v>
      </c>
      <c r="S211" s="203" t="s">
        <v>196</v>
      </c>
      <c r="T211" s="203" t="s">
        <v>197</v>
      </c>
      <c r="U211" s="30">
        <f>SQRT(SUMSQ(Q212,R212))</f>
        <v>129.3392438511993</v>
      </c>
      <c r="V211" s="30">
        <f>SQRT(SUMSQ(S212,T212))</f>
        <v>107.42969794242187</v>
      </c>
      <c r="W211" s="205">
        <f>SQRT(PRODUCT(U211,V211))</f>
        <v>117.8765281938503</v>
      </c>
      <c r="Z211" s="41" t="s">
        <v>209</v>
      </c>
      <c r="AA211" s="41" t="s">
        <v>210</v>
      </c>
      <c r="AB211" s="41" t="s">
        <v>208</v>
      </c>
      <c r="AC211" s="41" t="s">
        <v>211</v>
      </c>
    </row>
    <row r="212" spans="1:29" ht="13.5" thickBot="1">
      <c r="A212" s="217" t="s">
        <v>249</v>
      </c>
      <c r="B212" s="218"/>
      <c r="C212" s="219"/>
      <c r="D212" s="219"/>
      <c r="E212" s="219"/>
      <c r="F212" s="219"/>
      <c r="G212" s="84"/>
      <c r="H212" s="186" t="s">
        <v>213</v>
      </c>
      <c r="I212" s="187"/>
      <c r="J212" s="187"/>
      <c r="K212" s="187"/>
      <c r="L212" s="187"/>
      <c r="M212" s="188"/>
      <c r="N212" s="187"/>
      <c r="O212" s="187"/>
      <c r="P212" s="156"/>
      <c r="Q212" s="23">
        <f>SUM(C92-F13)</f>
        <v>-129.2</v>
      </c>
      <c r="R212">
        <f>SUM(C94-F15)</f>
        <v>-6</v>
      </c>
      <c r="S212" s="23">
        <f>SUM(C92-C13)</f>
        <v>-106.7</v>
      </c>
      <c r="T212">
        <f>SUM(C94-C15)</f>
        <v>12.5</v>
      </c>
      <c r="U212" s="30">
        <f>DEGREES(ATAN2(Q212,R212))</f>
        <v>-177.34111560575658</v>
      </c>
      <c r="V212" s="30">
        <f>DEGREES(ATAN2(S212,T212))</f>
        <v>173.31820506371216</v>
      </c>
      <c r="W212" s="30">
        <f>PRODUCT(SUM(U212,V212),0.5)</f>
        <v>-2.011455271022214</v>
      </c>
      <c r="X212" s="30">
        <f>PRODUCT(W211,COS(RADIANS(W212)))</f>
        <v>117.80389615593278</v>
      </c>
      <c r="Y212" s="30">
        <f>PRODUCT(W211,SIN(RADIANS(W212)))</f>
        <v>-4.137384381199443</v>
      </c>
      <c r="Z212" s="30">
        <f>SUM(-C92,X212)</f>
        <v>19.00389615593278</v>
      </c>
      <c r="AA212" s="30">
        <f>SUM(-C94,Y212)</f>
        <v>0.8626156188005574</v>
      </c>
      <c r="AB212" s="30">
        <f>SUM(-C92,-X212)</f>
        <v>-216.60389615593277</v>
      </c>
      <c r="AC212" s="30">
        <f>SUM(-C94,-Y212)</f>
        <v>9.137384381199443</v>
      </c>
    </row>
    <row r="213" spans="1:17" ht="13.5" thickBot="1">
      <c r="A213" s="149" t="s">
        <v>385</v>
      </c>
      <c r="B213" s="216">
        <f>C204*COS(RADIANS(C205))</f>
        <v>0</v>
      </c>
      <c r="C213" s="216">
        <f>C204*SIN(RADIANS(C205))</f>
        <v>0</v>
      </c>
      <c r="D213" s="153" t="s">
        <v>386</v>
      </c>
      <c r="E213" s="216">
        <f>D204*COS(RADIANS(D205))</f>
        <v>0</v>
      </c>
      <c r="F213" s="216">
        <f>D204*SIN(RADIANS(D205))</f>
        <v>0</v>
      </c>
      <c r="G213" s="84"/>
      <c r="H213" s="86"/>
      <c r="I213" s="86"/>
      <c r="J213" s="86"/>
      <c r="K213" s="86"/>
      <c r="L213" s="86"/>
      <c r="M213" s="157"/>
      <c r="N213" s="86"/>
      <c r="O213" s="86"/>
      <c r="P213" s="156"/>
      <c r="Q213" s="23" t="s">
        <v>314</v>
      </c>
    </row>
    <row r="214" spans="1:29" ht="14.25" thickBot="1" thickTop="1">
      <c r="A214" s="149" t="s">
        <v>387</v>
      </c>
      <c r="B214" s="216">
        <f>E204*COS(RADIANS(E205))</f>
        <v>-106.51482391706787</v>
      </c>
      <c r="C214" s="216">
        <f>E204*SIN(RADIANS(E205))</f>
        <v>-9.964272696010967</v>
      </c>
      <c r="D214" s="153" t="s">
        <v>388</v>
      </c>
      <c r="E214" s="216">
        <f>F204*COS(RADIANS(F205))</f>
        <v>11.901763881146513</v>
      </c>
      <c r="F214" s="216">
        <f>F204*SIN(RADIANS(F205))</f>
        <v>-16.483812425315687</v>
      </c>
      <c r="G214" s="180" t="s">
        <v>287</v>
      </c>
      <c r="H214" s="182">
        <f>AB209</f>
        <v>18.697425711386487</v>
      </c>
      <c r="I214" s="183"/>
      <c r="J214" s="183">
        <f>AC209</f>
        <v>8.543103906953993</v>
      </c>
      <c r="K214" s="184" t="s">
        <v>4</v>
      </c>
      <c r="L214" s="180" t="s">
        <v>290</v>
      </c>
      <c r="M214" s="185">
        <f>AB212</f>
        <v>-216.60389615593277</v>
      </c>
      <c r="N214" s="183"/>
      <c r="O214" s="183">
        <f>AC212</f>
        <v>9.137384381199443</v>
      </c>
      <c r="P214" s="184" t="s">
        <v>4</v>
      </c>
      <c r="Q214" s="204" t="s">
        <v>194</v>
      </c>
      <c r="R214" s="204" t="s">
        <v>195</v>
      </c>
      <c r="S214" s="204" t="s">
        <v>196</v>
      </c>
      <c r="T214" s="204" t="s">
        <v>197</v>
      </c>
      <c r="U214" s="248">
        <f>SQRT(SUMSQ(Q215,R215))</f>
        <v>128.95693079474248</v>
      </c>
      <c r="V214" s="248">
        <f>SQRT(SUMSQ(S215,T215))</f>
        <v>113.90741854681809</v>
      </c>
      <c r="W214" s="248">
        <f>SQRT(PRODUCT(U214,V214))</f>
        <v>121.19880812347037</v>
      </c>
      <c r="X214" s="249"/>
      <c r="Y214" s="249"/>
      <c r="Z214" s="204" t="s">
        <v>209</v>
      </c>
      <c r="AA214" s="204" t="s">
        <v>210</v>
      </c>
      <c r="AB214" s="204" t="s">
        <v>208</v>
      </c>
      <c r="AC214" s="204" t="s">
        <v>211</v>
      </c>
    </row>
    <row r="215" spans="7:29" ht="14.25" thickBot="1" thickTop="1">
      <c r="G215" s="140"/>
      <c r="H215" s="98"/>
      <c r="I215" s="98"/>
      <c r="J215" s="98"/>
      <c r="K215" s="98"/>
      <c r="L215" s="98"/>
      <c r="M215" s="98"/>
      <c r="N215" s="98"/>
      <c r="O215" s="98"/>
      <c r="P215" s="87"/>
      <c r="Q215" s="23">
        <f>SUM(D92-F13)</f>
        <v>-128.3</v>
      </c>
      <c r="R215">
        <f>SUM(D94-F15)</f>
        <v>-13</v>
      </c>
      <c r="S215" s="23">
        <f>SUM(D92-D13)</f>
        <v>-113.89999999999999</v>
      </c>
      <c r="T215">
        <f>SUM(D94-D15)</f>
        <v>1.3000000000000007</v>
      </c>
      <c r="U215" s="30">
        <f>DEGREES(ATAN2(Q215,R215))</f>
        <v>-174.21425040470135</v>
      </c>
      <c r="V215" s="30">
        <f>DEGREES(ATAN2(S215,T215))</f>
        <v>179.34608183237634</v>
      </c>
      <c r="W215" s="30">
        <f>PRODUCT(SUM(U215,V215),0.5)</f>
        <v>2.565915713837498</v>
      </c>
      <c r="X215" s="30">
        <f>PRODUCT(W214,COS(RADIANS(W215)))</f>
        <v>121.07729161686304</v>
      </c>
      <c r="Y215" s="30">
        <f>PRODUCT(W214,SIN(RADIANS(W215)))</f>
        <v>5.4259142340156385</v>
      </c>
      <c r="Z215" s="30">
        <f>SUM(-D92,X215)</f>
        <v>21.377291616863033</v>
      </c>
      <c r="AA215" s="30">
        <f>SUM(-D94,Y215)</f>
        <v>17.42591423401564</v>
      </c>
      <c r="AB215" s="30">
        <f>SUM(-D92,-X215)</f>
        <v>-220.77729161686304</v>
      </c>
      <c r="AC215" s="30">
        <f>SUM(-D94,-Y215)</f>
        <v>6.5740857659843615</v>
      </c>
    </row>
    <row r="216" spans="2:19" ht="14.25" thickBot="1" thickTop="1">
      <c r="B216" s="224" t="s">
        <v>250</v>
      </c>
      <c r="C216" s="222"/>
      <c r="D216" s="222"/>
      <c r="G216" s="180" t="s">
        <v>288</v>
      </c>
      <c r="H216" s="182">
        <f>AB215</f>
        <v>-220.77729161686304</v>
      </c>
      <c r="I216" s="183"/>
      <c r="J216" s="183">
        <f>AC215</f>
        <v>6.5740857659843615</v>
      </c>
      <c r="K216" s="184" t="s">
        <v>4</v>
      </c>
      <c r="L216" s="180" t="s">
        <v>289</v>
      </c>
      <c r="M216" s="182">
        <f>AB218</f>
        <v>45.284273288844204</v>
      </c>
      <c r="N216" s="183"/>
      <c r="O216" s="183">
        <f>AC218</f>
        <v>-62.05856500113249</v>
      </c>
      <c r="P216" s="184" t="s">
        <v>4</v>
      </c>
      <c r="Q216" t="s">
        <v>315</v>
      </c>
      <c r="S216" s="23"/>
    </row>
    <row r="217" spans="2:29" ht="13.5" thickBot="1">
      <c r="B217" s="223" t="s">
        <v>320</v>
      </c>
      <c r="C217" s="225">
        <f>SUM(D13,B213,E213,B214,E214)</f>
        <v>118.98693996407863</v>
      </c>
      <c r="D217" s="225">
        <f>SUM(D15,C213,F213,C214,F214)</f>
        <v>-39.74808512132665</v>
      </c>
      <c r="G217" s="84"/>
      <c r="H217" s="86"/>
      <c r="I217" s="86"/>
      <c r="J217" s="86"/>
      <c r="K217" s="86"/>
      <c r="L217" s="86"/>
      <c r="M217" s="86"/>
      <c r="N217" s="86"/>
      <c r="O217" s="86"/>
      <c r="P217" s="87"/>
      <c r="Q217" s="204" t="s">
        <v>194</v>
      </c>
      <c r="R217" s="204" t="s">
        <v>195</v>
      </c>
      <c r="S217" s="204" t="s">
        <v>196</v>
      </c>
      <c r="T217" s="204" t="s">
        <v>197</v>
      </c>
      <c r="U217" s="248">
        <f>SQRT(SUMSQ(Q218,R218))</f>
        <v>154.83165051112775</v>
      </c>
      <c r="V217" s="248">
        <f>SQRT(SUMSQ(S218,T218))</f>
        <v>102.15405033575516</v>
      </c>
      <c r="W217" s="248">
        <f>SQRT(PRODUCT(U217,V217))</f>
        <v>125.76438374946142</v>
      </c>
      <c r="X217" s="249"/>
      <c r="Y217" s="249"/>
      <c r="Z217" s="204" t="s">
        <v>209</v>
      </c>
      <c r="AA217" s="204" t="s">
        <v>210</v>
      </c>
      <c r="AB217" s="204" t="s">
        <v>208</v>
      </c>
      <c r="AC217" s="204" t="s">
        <v>211</v>
      </c>
    </row>
    <row r="218" spans="7:29" ht="12.75" thickBot="1">
      <c r="G218" s="263" t="s">
        <v>221</v>
      </c>
      <c r="H218" s="261"/>
      <c r="I218" s="261"/>
      <c r="J218" s="261"/>
      <c r="K218" s="261"/>
      <c r="L218" s="261"/>
      <c r="M218" s="261"/>
      <c r="N218" s="261"/>
      <c r="O218" s="261"/>
      <c r="P218" s="262"/>
      <c r="Q218" s="23">
        <f>SUM(E92-F13)</f>
        <v>-152.8</v>
      </c>
      <c r="R218">
        <f>SUM(E94-F15)</f>
        <v>25</v>
      </c>
      <c r="S218" s="23">
        <f>SUM(E92-E13)</f>
        <v>-93.3</v>
      </c>
      <c r="T218">
        <f>SUM(E94-E15)</f>
        <v>41.6</v>
      </c>
      <c r="U218" s="30">
        <f>DEGREES(ATAN2(Q218,R218))</f>
        <v>170.7080193825128</v>
      </c>
      <c r="V218" s="30">
        <f>DEGREES(ATAN2(S218,T218))</f>
        <v>155.96917298465814</v>
      </c>
      <c r="W218" s="30">
        <f>PRODUCT(SUM(U218,V218),0.5)</f>
        <v>163.33859618358548</v>
      </c>
      <c r="X218" s="30">
        <f>PRODUCT(W217,COS(RADIANS(W218)))</f>
        <v>-120.48427328884421</v>
      </c>
      <c r="Y218" s="30">
        <f>PRODUCT(W217,SIN(RADIANS(W218)))</f>
        <v>36.05856500113249</v>
      </c>
      <c r="Z218" s="30">
        <f>SUM(-E92,X218)</f>
        <v>-195.68427328884422</v>
      </c>
      <c r="AA218" s="30">
        <f>SUM(-E94,Y218)</f>
        <v>10.058565001132493</v>
      </c>
      <c r="AB218" s="30">
        <f>SUM(-E92,-X218)</f>
        <v>45.284273288844204</v>
      </c>
      <c r="AC218" s="30">
        <f>SUM(-E94,-Y218)</f>
        <v>-62.05856500113249</v>
      </c>
    </row>
    <row r="219" spans="1:29" ht="14.25" thickBot="1" thickTop="1">
      <c r="A219" t="s">
        <v>367</v>
      </c>
      <c r="H219" s="6"/>
      <c r="I219" s="122"/>
      <c r="J219" s="122"/>
      <c r="K219" s="121"/>
      <c r="L219" s="122"/>
      <c r="M219" s="122"/>
      <c r="N219" s="121"/>
      <c r="O219" s="122"/>
      <c r="Q219" s="259"/>
      <c r="R219" s="260"/>
      <c r="S219" s="260"/>
      <c r="T219" s="260"/>
      <c r="U219" s="260"/>
      <c r="V219" s="260"/>
      <c r="W219" s="260"/>
      <c r="X219" s="260"/>
      <c r="Y219" s="260"/>
      <c r="Z219" s="260"/>
      <c r="AA219" s="260"/>
      <c r="AB219" s="260"/>
      <c r="AC219" s="260"/>
    </row>
    <row r="220" spans="8:15" ht="14.25" thickBot="1" thickTop="1">
      <c r="H220" s="6"/>
      <c r="I220" s="122"/>
      <c r="J220" s="122"/>
      <c r="K220" s="121"/>
      <c r="L220" s="122"/>
      <c r="M220" s="122"/>
      <c r="N220" s="121"/>
      <c r="O220" s="122"/>
    </row>
    <row r="221" spans="1:16" ht="13.5" thickBot="1">
      <c r="A221" s="120"/>
      <c r="B221" s="232" t="s">
        <v>319</v>
      </c>
      <c r="C221" s="233"/>
      <c r="D221" s="234"/>
      <c r="E221" s="120"/>
      <c r="F221" s="120"/>
      <c r="H221" s="282" t="s">
        <v>478</v>
      </c>
      <c r="I221" s="281"/>
      <c r="J221" s="281"/>
      <c r="K221" s="281"/>
      <c r="L221" s="281"/>
      <c r="M221" s="281"/>
      <c r="N221" s="281"/>
      <c r="O221" s="6"/>
      <c r="P221" s="6"/>
    </row>
    <row r="222" spans="1:20" ht="13.5" thickBot="1">
      <c r="A222" s="120"/>
      <c r="B222" s="255"/>
      <c r="C222" s="255"/>
      <c r="D222" s="255"/>
      <c r="E222" s="120"/>
      <c r="F222" s="120"/>
      <c r="H222" s="149" t="s">
        <v>439</v>
      </c>
      <c r="I222" s="150"/>
      <c r="J222" s="150"/>
      <c r="K222" s="99"/>
      <c r="L222" s="150"/>
      <c r="M222" s="150"/>
      <c r="N222" s="150"/>
      <c r="O222" s="150"/>
      <c r="P222" s="150"/>
      <c r="Q222" s="99"/>
      <c r="R222" s="99"/>
      <c r="S222" s="99"/>
      <c r="T222" s="99"/>
    </row>
    <row r="223" spans="1:20" ht="12.75" thickBot="1">
      <c r="A223" s="227" t="s">
        <v>399</v>
      </c>
      <c r="B223" s="210"/>
      <c r="C223" s="210"/>
      <c r="D223" s="210"/>
      <c r="E223" s="211"/>
      <c r="F223" s="212"/>
      <c r="H223" s="149" t="s">
        <v>440</v>
      </c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</row>
    <row r="224" spans="1:8" ht="13.5" thickBot="1">
      <c r="A224" s="227" t="s">
        <v>252</v>
      </c>
      <c r="B224" s="210"/>
      <c r="C224" s="226"/>
      <c r="D224" s="210"/>
      <c r="E224" s="211"/>
      <c r="F224" s="212"/>
      <c r="H224" t="s">
        <v>425</v>
      </c>
    </row>
    <row r="225" spans="1:17" ht="13.5" thickBot="1">
      <c r="A225" s="227" t="s">
        <v>253</v>
      </c>
      <c r="B225" s="211"/>
      <c r="C225" s="213"/>
      <c r="D225" s="213"/>
      <c r="E225" s="213"/>
      <c r="F225" s="212"/>
      <c r="H225" s="149" t="s">
        <v>421</v>
      </c>
      <c r="I225" s="150"/>
      <c r="J225" s="150"/>
      <c r="L225" s="6" t="s">
        <v>477</v>
      </c>
      <c r="N225" s="6"/>
      <c r="P225" s="6"/>
      <c r="Q225" s="6"/>
    </row>
    <row r="226" spans="1:16" ht="14.25" thickBot="1" thickTop="1">
      <c r="A226" s="214" t="s">
        <v>389</v>
      </c>
      <c r="B226" s="215"/>
      <c r="C226" s="290">
        <v>-8.5</v>
      </c>
      <c r="D226" s="214" t="s">
        <v>390</v>
      </c>
      <c r="E226" s="215"/>
      <c r="F226" s="290">
        <v>2.4</v>
      </c>
      <c r="H226" s="149" t="s">
        <v>416</v>
      </c>
      <c r="I226" s="150"/>
      <c r="J226" s="150"/>
      <c r="L226" s="104">
        <f>SUM(O232,-(PRODUCT(2,O234)))</f>
        <v>25.299999999999983</v>
      </c>
      <c r="M226" s="280">
        <f>SUM(Q232,-(PRODUCT(2,Q234)))</f>
        <v>-51.2</v>
      </c>
      <c r="N226" s="272" t="s">
        <v>4</v>
      </c>
      <c r="O226" s="170" t="s">
        <v>479</v>
      </c>
      <c r="P226" s="6"/>
    </row>
    <row r="227" spans="1:16" ht="13.5" thickBot="1">
      <c r="A227" s="214" t="s">
        <v>391</v>
      </c>
      <c r="B227" s="215"/>
      <c r="C227" s="290">
        <v>-7.7</v>
      </c>
      <c r="D227" s="214" t="s">
        <v>393</v>
      </c>
      <c r="E227" s="215"/>
      <c r="F227" s="290">
        <v>-26.6</v>
      </c>
      <c r="H227" s="150" t="s">
        <v>476</v>
      </c>
      <c r="I227" s="99"/>
      <c r="J227" s="99"/>
      <c r="L227" s="6" t="s">
        <v>422</v>
      </c>
      <c r="M227" s="6"/>
      <c r="N227" s="6"/>
      <c r="O227" s="170" t="s">
        <v>480</v>
      </c>
      <c r="P227" s="6"/>
    </row>
    <row r="228" spans="1:16" ht="14.25" thickBot="1" thickTop="1">
      <c r="A228" s="214" t="s">
        <v>381</v>
      </c>
      <c r="B228" s="215"/>
      <c r="C228" s="290">
        <v>52.8</v>
      </c>
      <c r="D228" s="214" t="s">
        <v>392</v>
      </c>
      <c r="E228" s="215"/>
      <c r="F228" s="290">
        <v>-36.5</v>
      </c>
      <c r="H228" s="149" t="s">
        <v>475</v>
      </c>
      <c r="I228" s="150"/>
      <c r="J228" s="150"/>
      <c r="L228" s="104">
        <f>SUM(O233,-(PRODUCT(2,O235)))</f>
        <v>60.599999999999994</v>
      </c>
      <c r="M228" s="280">
        <f>SUM(Q233,-(PRODUCT(2,Q235)))</f>
        <v>-47.4</v>
      </c>
      <c r="N228" s="272" t="s">
        <v>4</v>
      </c>
      <c r="O228" s="170" t="s">
        <v>481</v>
      </c>
      <c r="P228" s="6"/>
    </row>
    <row r="229" spans="1:16" ht="13.5" thickBot="1">
      <c r="A229" s="214" t="s">
        <v>380</v>
      </c>
      <c r="B229" s="215"/>
      <c r="C229" s="290">
        <v>39</v>
      </c>
      <c r="D229" s="214" t="s">
        <v>379</v>
      </c>
      <c r="E229" s="215"/>
      <c r="F229" s="290">
        <v>-76</v>
      </c>
      <c r="H229" s="43" t="s">
        <v>3</v>
      </c>
      <c r="I229" s="283"/>
      <c r="J229" s="283"/>
      <c r="M229" s="6"/>
      <c r="N229" s="6"/>
      <c r="O229" s="6"/>
      <c r="P229" s="6"/>
    </row>
    <row r="230" spans="8:19" ht="13.5" thickBot="1">
      <c r="H230" s="317" t="s">
        <v>441</v>
      </c>
      <c r="I230" s="284"/>
      <c r="J230" s="284"/>
      <c r="K230" s="285"/>
      <c r="L230" s="284"/>
      <c r="M230" s="285"/>
      <c r="N230" s="285"/>
      <c r="O230" s="285"/>
      <c r="P230" s="285"/>
      <c r="Q230" s="284"/>
      <c r="R230" s="284"/>
      <c r="S230" s="284"/>
    </row>
    <row r="231" spans="1:17" ht="14.25" thickBot="1" thickTop="1">
      <c r="A231" s="102" t="s">
        <v>3</v>
      </c>
      <c r="O231" t="s">
        <v>423</v>
      </c>
      <c r="P231" s="283">
        <v>12</v>
      </c>
      <c r="Q231" s="6" t="s">
        <v>424</v>
      </c>
    </row>
    <row r="232" spans="1:17" ht="13.5" thickTop="1">
      <c r="A232" s="99"/>
      <c r="B232" s="251"/>
      <c r="C232" s="251"/>
      <c r="D232" s="251"/>
      <c r="E232" s="99"/>
      <c r="F232" s="99"/>
      <c r="H232" s="2" t="s">
        <v>482</v>
      </c>
      <c r="M232" s="287" t="s">
        <v>418</v>
      </c>
      <c r="N232" s="286"/>
      <c r="O232" s="329">
        <v>169.7</v>
      </c>
      <c r="P232" s="330"/>
      <c r="Q232" s="331">
        <v>-11.2</v>
      </c>
    </row>
    <row r="233" spans="1:17" ht="12.75">
      <c r="A233" s="209" t="s">
        <v>359</v>
      </c>
      <c r="B233" s="99"/>
      <c r="C233" s="99"/>
      <c r="D233" s="99"/>
      <c r="E233" s="99"/>
      <c r="F233" s="99"/>
      <c r="H233" s="2" t="s">
        <v>483</v>
      </c>
      <c r="M233" s="288" t="s">
        <v>419</v>
      </c>
      <c r="N233" s="6"/>
      <c r="O233" s="332">
        <v>203</v>
      </c>
      <c r="P233" s="333"/>
      <c r="Q233" s="334">
        <v>-5.4</v>
      </c>
    </row>
    <row r="234" spans="1:17" ht="12.75">
      <c r="A234" s="99"/>
      <c r="B234" s="150" t="s">
        <v>120</v>
      </c>
      <c r="C234" s="221" t="s">
        <v>125</v>
      </c>
      <c r="D234" s="221" t="s">
        <v>126</v>
      </c>
      <c r="E234" s="221" t="s">
        <v>127</v>
      </c>
      <c r="F234" s="221" t="s">
        <v>128</v>
      </c>
      <c r="H234" s="2" t="s">
        <v>484</v>
      </c>
      <c r="M234" s="288" t="s">
        <v>417</v>
      </c>
      <c r="O234" s="332">
        <v>72.2</v>
      </c>
      <c r="P234" s="333"/>
      <c r="Q234" s="334">
        <v>20</v>
      </c>
    </row>
    <row r="235" spans="1:17" ht="13.5" thickBot="1">
      <c r="A235" s="149" t="s">
        <v>133</v>
      </c>
      <c r="B235" s="150"/>
      <c r="C235" s="152">
        <f>B117/E117</f>
        <v>0</v>
      </c>
      <c r="D235" s="152">
        <f>C117/E117</f>
        <v>0</v>
      </c>
      <c r="E235" s="152">
        <f>D117/E117</f>
        <v>0.6</v>
      </c>
      <c r="F235" s="152">
        <f>F117/E117</f>
        <v>0.5</v>
      </c>
      <c r="H235" s="2" t="s">
        <v>485</v>
      </c>
      <c r="K235" s="6"/>
      <c r="L235" s="6"/>
      <c r="M235" s="289" t="s">
        <v>474</v>
      </c>
      <c r="O235" s="335">
        <v>71.2</v>
      </c>
      <c r="P235" s="335"/>
      <c r="Q235" s="336">
        <v>21</v>
      </c>
    </row>
    <row r="236" spans="1:6" ht="13.5" thickTop="1">
      <c r="A236" s="149" t="s">
        <v>134</v>
      </c>
      <c r="B236" s="150" t="s">
        <v>135</v>
      </c>
      <c r="C236" s="228">
        <f>IF(B241&lt;0,B243,B242)</f>
        <v>0</v>
      </c>
      <c r="D236" s="228">
        <f>IF(C241&lt;0,C243,C242)</f>
        <v>0</v>
      </c>
      <c r="E236" s="228">
        <f>IF(D241&lt;0,D243,D242)</f>
        <v>140</v>
      </c>
      <c r="F236" s="228">
        <f>IF(E241&lt;0,E243,E242)</f>
        <v>-140</v>
      </c>
    </row>
    <row r="237" spans="1:12" ht="12.75">
      <c r="A237" s="149" t="s">
        <v>139</v>
      </c>
      <c r="B237" s="150" t="s">
        <v>136</v>
      </c>
      <c r="C237" s="151">
        <f>PRODUCT(C235,SQRT(SUMSQ(C226,F226)))</f>
        <v>0</v>
      </c>
      <c r="D237" s="151">
        <f>PRODUCT(D235,SQRT(SUMSQ(C227,F227)))</f>
        <v>0</v>
      </c>
      <c r="E237" s="151">
        <f>PRODUCT(E235,SQRT(SUMSQ(C228,F228)))</f>
        <v>38.5127563282609</v>
      </c>
      <c r="F237" s="151">
        <f>PRODUCT(F235,SQRT(SUMSQ(C229,F229)))</f>
        <v>42.71123973850443</v>
      </c>
      <c r="H237" s="2" t="s">
        <v>448</v>
      </c>
      <c r="I237" s="6"/>
      <c r="J237" s="6"/>
      <c r="K237" s="6"/>
      <c r="L237" s="6"/>
    </row>
    <row r="238" spans="1:8" ht="12.75">
      <c r="A238" s="149" t="s">
        <v>141</v>
      </c>
      <c r="B238" s="150"/>
      <c r="C238" s="229">
        <f>SUM(C236,DEGREES(ATAN2(C226,F226)))</f>
        <v>164.23281745752433</v>
      </c>
      <c r="D238" s="229">
        <f>SUM(D236,DEGREES(ATAN2(C227,F227)))</f>
        <v>-106.14433878028348</v>
      </c>
      <c r="E238" s="229">
        <f>SUM(E236,DEGREES(ATAN2(C228,F228)))</f>
        <v>105.34436468661929</v>
      </c>
      <c r="F238" s="229">
        <f>SUM(F236,DEGREES(ATAN2(C229,F229)))</f>
        <v>-202.83501494266807</v>
      </c>
      <c r="H238" s="2" t="s">
        <v>449</v>
      </c>
    </row>
    <row r="239" spans="1:8" ht="13.5" thickBot="1">
      <c r="A239" s="99"/>
      <c r="B239" s="217" t="s">
        <v>256</v>
      </c>
      <c r="C239" s="230"/>
      <c r="D239" s="230"/>
      <c r="E239" s="219"/>
      <c r="F239" s="99"/>
      <c r="H239" s="2" t="s">
        <v>486</v>
      </c>
    </row>
    <row r="240" spans="1:8" ht="12.75">
      <c r="A240" s="99"/>
      <c r="B240" s="220" t="s">
        <v>125</v>
      </c>
      <c r="C240" s="220" t="s">
        <v>126</v>
      </c>
      <c r="D240" s="220" t="s">
        <v>127</v>
      </c>
      <c r="E240" s="220" t="s">
        <v>128</v>
      </c>
      <c r="F240" s="99"/>
      <c r="H240" s="2" t="s">
        <v>488</v>
      </c>
    </row>
    <row r="241" spans="1:8" ht="12.75">
      <c r="A241" s="99"/>
      <c r="B241" s="231">
        <f>B119-E119</f>
        <v>0</v>
      </c>
      <c r="C241" s="231">
        <f>C119-E119</f>
        <v>0</v>
      </c>
      <c r="D241" s="231">
        <f>D119-E119</f>
        <v>140</v>
      </c>
      <c r="E241" s="231">
        <f>F119-E119</f>
        <v>-140</v>
      </c>
      <c r="F241" s="99"/>
      <c r="H241" s="2" t="s">
        <v>487</v>
      </c>
    </row>
    <row r="242" spans="1:8" ht="12.75">
      <c r="A242" s="99"/>
      <c r="B242" s="231">
        <f>IF(B241&gt;359,(B241-360),(B241))</f>
        <v>0</v>
      </c>
      <c r="C242" s="231">
        <f>IF(C241&gt;359,(C241-360),(C241))</f>
        <v>0</v>
      </c>
      <c r="D242" s="231">
        <f>IF(D241&gt;359,(D241-360),(D241))</f>
        <v>140</v>
      </c>
      <c r="E242" s="231">
        <f>IF(E241&gt;359,(E241-360),(E241))</f>
        <v>-140</v>
      </c>
      <c r="F242" s="99"/>
      <c r="H242" s="2" t="s">
        <v>450</v>
      </c>
    </row>
    <row r="243" spans="1:15" ht="12.75">
      <c r="A243" s="99"/>
      <c r="B243" s="231">
        <f>IF(B241&lt;-359,(B241+360),(B241))</f>
        <v>0</v>
      </c>
      <c r="C243" s="231">
        <f>IF(C241&lt;-359,(C241+360),(C241))</f>
        <v>0</v>
      </c>
      <c r="D243" s="231">
        <f>IF(D241&lt;-359,(D241+360),(D241))</f>
        <v>140</v>
      </c>
      <c r="E243" s="231">
        <f>IF(E241&lt;-359,(E241+360),(E241))</f>
        <v>-140</v>
      </c>
      <c r="F243" s="99"/>
      <c r="G243" s="39"/>
      <c r="H243" s="2" t="s">
        <v>451</v>
      </c>
      <c r="M243" s="39"/>
      <c r="N243" s="39"/>
      <c r="O243" s="39"/>
    </row>
    <row r="244" spans="1:15" ht="12.75">
      <c r="A244" s="99"/>
      <c r="B244" s="99"/>
      <c r="C244" s="99"/>
      <c r="D244" s="99"/>
      <c r="E244" s="99"/>
      <c r="F244" s="99"/>
      <c r="G244" s="39"/>
      <c r="H244" s="2" t="s">
        <v>462</v>
      </c>
      <c r="M244" s="322" t="s">
        <v>463</v>
      </c>
      <c r="N244" s="39"/>
      <c r="O244" s="39"/>
    </row>
    <row r="245" spans="1:15" ht="13.5" thickBot="1">
      <c r="A245" s="217" t="s">
        <v>249</v>
      </c>
      <c r="B245" s="218"/>
      <c r="C245" s="219"/>
      <c r="D245" s="219"/>
      <c r="E245" s="219"/>
      <c r="F245" s="219"/>
      <c r="G245" s="39"/>
      <c r="H245" s="2" t="s">
        <v>452</v>
      </c>
      <c r="M245" s="39"/>
      <c r="N245" s="39"/>
      <c r="O245" s="39"/>
    </row>
    <row r="246" spans="1:12" ht="12.75">
      <c r="A246" s="149" t="s">
        <v>394</v>
      </c>
      <c r="B246" s="216">
        <f>C237*COS(RADIANS(C238))</f>
        <v>0</v>
      </c>
      <c r="C246" s="216">
        <f>C237*SIN(RADIANS(C238))</f>
        <v>0</v>
      </c>
      <c r="D246" s="153" t="s">
        <v>395</v>
      </c>
      <c r="E246" s="216">
        <f>D237*COS(RADIANS(D238))</f>
        <v>0</v>
      </c>
      <c r="F246" s="216">
        <f>D237*SIN(RADIANS(D238))</f>
        <v>0</v>
      </c>
      <c r="H246" s="42" t="s">
        <v>457</v>
      </c>
      <c r="I246" s="39"/>
      <c r="J246" s="39"/>
      <c r="K246" s="39"/>
      <c r="L246" s="39"/>
    </row>
    <row r="247" spans="1:16" ht="13.5" thickBot="1">
      <c r="A247" s="149" t="s">
        <v>396</v>
      </c>
      <c r="B247" s="216">
        <f>E237*COS(RADIANS(E238))</f>
        <v>-10.191239305874008</v>
      </c>
      <c r="C247" s="216">
        <f>E237*SIN(RADIANS(E238))</f>
        <v>37.13988477917518</v>
      </c>
      <c r="D247" s="153" t="s">
        <v>397</v>
      </c>
      <c r="E247" s="216">
        <f>F237*COS(RADIANS(F238))</f>
        <v>-39.36379580890857</v>
      </c>
      <c r="F247" s="216">
        <f>F237*SIN(RADIANS(F238))</f>
        <v>16.57533044963365</v>
      </c>
      <c r="G247" s="2" t="s">
        <v>489</v>
      </c>
      <c r="L247" s="285" t="s">
        <v>420</v>
      </c>
      <c r="M247" s="284"/>
      <c r="N247" s="284"/>
      <c r="O247" s="285"/>
      <c r="P247" s="284"/>
    </row>
    <row r="248" spans="7:14" ht="13.5" thickBot="1" thickTop="1">
      <c r="G248" s="2" t="s">
        <v>456</v>
      </c>
      <c r="J248" s="39"/>
      <c r="K248" s="39"/>
      <c r="L248" s="39"/>
      <c r="M248" s="39"/>
      <c r="N248" s="39"/>
    </row>
    <row r="249" spans="2:22" ht="14.25" thickBot="1" thickTop="1">
      <c r="B249" s="224" t="s">
        <v>250</v>
      </c>
      <c r="C249" s="222"/>
      <c r="D249" s="222"/>
      <c r="G249" s="2" t="s">
        <v>490</v>
      </c>
      <c r="M249" s="297" t="s">
        <v>14</v>
      </c>
      <c r="N249" s="298"/>
      <c r="O249" s="299" t="s">
        <v>432</v>
      </c>
      <c r="S249" s="2" t="s">
        <v>433</v>
      </c>
      <c r="T249" s="302"/>
      <c r="U249" s="307" t="s">
        <v>430</v>
      </c>
      <c r="V249" s="307" t="s">
        <v>431</v>
      </c>
    </row>
    <row r="250" spans="2:23" ht="14.25" thickBot="1" thickTop="1">
      <c r="B250" s="223" t="s">
        <v>318</v>
      </c>
      <c r="C250" s="225">
        <f>SUM(E13,B246,E246,B247,E247)</f>
        <v>118.94496488521742</v>
      </c>
      <c r="D250" s="225">
        <f>SUM(E15,C246,F246,C247,F247)</f>
        <v>38.115215228808836</v>
      </c>
      <c r="G250" s="312" t="s">
        <v>435</v>
      </c>
      <c r="H250" s="313"/>
      <c r="I250" s="313"/>
      <c r="J250" s="313"/>
      <c r="K250" s="314"/>
      <c r="L250" s="107" t="s">
        <v>442</v>
      </c>
      <c r="M250" s="308">
        <v>0.17</v>
      </c>
      <c r="N250" s="300"/>
      <c r="O250" s="294">
        <v>-122</v>
      </c>
      <c r="Q250" s="6" t="s">
        <v>446</v>
      </c>
      <c r="R250" s="6"/>
      <c r="S250" s="320">
        <f>M250/M251</f>
        <v>0.5396825396825398</v>
      </c>
      <c r="T250" s="321">
        <f>SUM(O250,-O251)</f>
        <v>-122</v>
      </c>
      <c r="U250" s="303">
        <f>PRODUCT(S250,COS(RADIANS(T250)))</f>
        <v>-0.2859881743480788</v>
      </c>
      <c r="V250" s="304">
        <f>PRODUCT(S250,SIN(RADIANS(T250)))</f>
        <v>-0.45767675030664273</v>
      </c>
      <c r="W250" s="2" t="s">
        <v>454</v>
      </c>
    </row>
    <row r="251" spans="7:23" ht="14.25" thickBot="1" thickTop="1">
      <c r="G251" s="312" t="s">
        <v>434</v>
      </c>
      <c r="H251" s="313"/>
      <c r="I251" s="313"/>
      <c r="J251" s="313"/>
      <c r="K251" s="314"/>
      <c r="L251" s="107" t="s">
        <v>443</v>
      </c>
      <c r="M251" s="309">
        <v>0.315</v>
      </c>
      <c r="N251" s="310"/>
      <c r="O251" s="294">
        <v>0</v>
      </c>
      <c r="Q251" s="6"/>
      <c r="R251" s="6"/>
      <c r="S251" s="306"/>
      <c r="T251" s="306"/>
      <c r="W251" s="2"/>
    </row>
    <row r="252" spans="1:23" ht="14.25" thickBot="1" thickTop="1">
      <c r="A252" t="s">
        <v>367</v>
      </c>
      <c r="G252" s="312"/>
      <c r="H252" s="313"/>
      <c r="I252" s="313"/>
      <c r="J252" s="313"/>
      <c r="K252" s="315"/>
      <c r="L252" s="99"/>
      <c r="M252" s="66" t="s">
        <v>430</v>
      </c>
      <c r="N252" s="311"/>
      <c r="O252" s="67" t="s">
        <v>431</v>
      </c>
      <c r="Q252" s="6" t="s">
        <v>447</v>
      </c>
      <c r="R252" s="6"/>
      <c r="S252" s="320">
        <f>-SQRT(SUMSQ(M253,O253))/SQRT(SUMSQ(M254,O254))</f>
        <v>-0.5089188301523042</v>
      </c>
      <c r="T252" s="321">
        <f>-(SUM((DEGREES(ATAN2(M253,O253))),-DEGREES(ATAN2(M254,O254))))</f>
        <v>58.4282520367065</v>
      </c>
      <c r="U252" s="303">
        <f>PRODUCT(S252,COS(RADIANS(T252)))</f>
        <v>-0.2664525266831909</v>
      </c>
      <c r="V252" s="304">
        <f>PRODUCT(S252,SIN(RADIANS(T252)))</f>
        <v>-0.43359131299846554</v>
      </c>
      <c r="W252" s="2" t="s">
        <v>455</v>
      </c>
    </row>
    <row r="253" spans="7:20" ht="14.25" thickBot="1" thickTop="1">
      <c r="G253" s="318" t="s">
        <v>453</v>
      </c>
      <c r="H253" s="319"/>
      <c r="I253" s="313"/>
      <c r="J253" s="313"/>
      <c r="K253" s="314"/>
      <c r="L253" s="107" t="s">
        <v>444</v>
      </c>
      <c r="M253" s="295">
        <v>38</v>
      </c>
      <c r="N253" s="310"/>
      <c r="O253" s="296">
        <v>-77</v>
      </c>
      <c r="Q253" s="6"/>
      <c r="R253" s="6"/>
      <c r="S253" s="305"/>
      <c r="T253" s="305"/>
    </row>
    <row r="254" spans="1:17" ht="14.25" thickBot="1" thickTop="1">
      <c r="A254" s="120"/>
      <c r="B254" s="232" t="s">
        <v>316</v>
      </c>
      <c r="C254" s="233"/>
      <c r="D254" s="234"/>
      <c r="E254" s="120"/>
      <c r="F254" s="120"/>
      <c r="G254" s="312" t="s">
        <v>436</v>
      </c>
      <c r="H254" s="313"/>
      <c r="I254" s="313"/>
      <c r="J254" s="313"/>
      <c r="K254" s="314"/>
      <c r="L254" s="107" t="s">
        <v>445</v>
      </c>
      <c r="M254" s="295">
        <v>168</v>
      </c>
      <c r="N254" s="301"/>
      <c r="O254" s="296">
        <v>-15.6</v>
      </c>
      <c r="Q254" s="2" t="s">
        <v>458</v>
      </c>
    </row>
    <row r="255" spans="1:17" ht="13.5" thickBot="1">
      <c r="A255" s="120"/>
      <c r="B255" s="255"/>
      <c r="C255" s="255"/>
      <c r="D255" s="255"/>
      <c r="E255" s="120"/>
      <c r="F255" s="120"/>
      <c r="H255" t="s">
        <v>3</v>
      </c>
      <c r="Q255" s="2" t="s">
        <v>459</v>
      </c>
    </row>
    <row r="256" spans="1:17" ht="12.75" thickBot="1">
      <c r="A256" s="227" t="s">
        <v>398</v>
      </c>
      <c r="B256" s="210"/>
      <c r="C256" s="210"/>
      <c r="D256" s="210"/>
      <c r="E256" s="211"/>
      <c r="F256" s="212"/>
      <c r="Q256" s="2" t="s">
        <v>460</v>
      </c>
    </row>
    <row r="257" spans="1:17" ht="12.75" thickBot="1">
      <c r="A257" s="227" t="s">
        <v>252</v>
      </c>
      <c r="B257" s="210"/>
      <c r="C257" s="226"/>
      <c r="D257" s="210"/>
      <c r="E257" s="211"/>
      <c r="F257" s="212"/>
      <c r="Q257" s="2" t="s">
        <v>461</v>
      </c>
    </row>
    <row r="258" spans="1:6" ht="12.75" thickBot="1">
      <c r="A258" s="227" t="s">
        <v>253</v>
      </c>
      <c r="B258" s="211"/>
      <c r="C258" s="213"/>
      <c r="D258" s="213"/>
      <c r="E258" s="213"/>
      <c r="F258" s="212"/>
    </row>
    <row r="259" spans="1:17" ht="13.5" thickBot="1">
      <c r="A259" s="214" t="s">
        <v>401</v>
      </c>
      <c r="B259" s="215"/>
      <c r="C259" s="290">
        <v>3.2</v>
      </c>
      <c r="D259" s="214" t="s">
        <v>402</v>
      </c>
      <c r="E259" s="215"/>
      <c r="F259" s="290">
        <v>-7.9</v>
      </c>
      <c r="Q259" s="6"/>
    </row>
    <row r="260" spans="1:17" ht="13.5" thickBot="1">
      <c r="A260" s="214" t="s">
        <v>403</v>
      </c>
      <c r="B260" s="215"/>
      <c r="C260" s="290">
        <v>-12.3</v>
      </c>
      <c r="D260" s="214" t="s">
        <v>404</v>
      </c>
      <c r="E260" s="215"/>
      <c r="F260" s="290">
        <v>3.84</v>
      </c>
      <c r="M260" s="1"/>
      <c r="Q260" s="6"/>
    </row>
    <row r="261" spans="1:6" ht="13.5" thickBot="1">
      <c r="A261" s="214" t="s">
        <v>405</v>
      </c>
      <c r="B261" s="215"/>
      <c r="C261" s="290">
        <v>-17</v>
      </c>
      <c r="D261" s="214" t="s">
        <v>406</v>
      </c>
      <c r="E261" s="215"/>
      <c r="F261" s="290">
        <v>-17.5</v>
      </c>
    </row>
    <row r="262" spans="1:6" ht="13.5" thickBot="1">
      <c r="A262" s="214" t="s">
        <v>407</v>
      </c>
      <c r="B262" s="215"/>
      <c r="C262" s="290">
        <v>39</v>
      </c>
      <c r="D262" s="214" t="s">
        <v>408</v>
      </c>
      <c r="E262" s="215"/>
      <c r="F262" s="290">
        <v>-76</v>
      </c>
    </row>
    <row r="264" ht="12.75">
      <c r="A264" s="102" t="s">
        <v>3</v>
      </c>
    </row>
    <row r="265" spans="1:6" ht="12.75">
      <c r="A265" s="99"/>
      <c r="B265" s="251"/>
      <c r="C265" s="251"/>
      <c r="D265" s="251"/>
      <c r="E265" s="99"/>
      <c r="F265" s="99"/>
    </row>
    <row r="266" spans="1:6" ht="12.75">
      <c r="A266" s="209" t="s">
        <v>360</v>
      </c>
      <c r="B266" s="99"/>
      <c r="C266" s="99"/>
      <c r="D266" s="99"/>
      <c r="E266" s="99"/>
      <c r="F266" s="99"/>
    </row>
    <row r="267" spans="1:6" ht="12.75">
      <c r="A267" s="99"/>
      <c r="B267" s="150" t="s">
        <v>120</v>
      </c>
      <c r="C267" s="221" t="s">
        <v>129</v>
      </c>
      <c r="D267" s="221" t="s">
        <v>130</v>
      </c>
      <c r="E267" s="221" t="s">
        <v>131</v>
      </c>
      <c r="F267" s="221" t="s">
        <v>132</v>
      </c>
    </row>
    <row r="268" spans="1:6" ht="12.75">
      <c r="A268" s="149" t="s">
        <v>133</v>
      </c>
      <c r="B268" s="150"/>
      <c r="C268" s="152">
        <f>B117/F117</f>
        <v>0</v>
      </c>
      <c r="D268" s="152">
        <f>C117/F117</f>
        <v>0</v>
      </c>
      <c r="E268" s="152">
        <f>D117/F117</f>
        <v>1.2</v>
      </c>
      <c r="F268" s="152">
        <f>E117/F117</f>
        <v>2</v>
      </c>
    </row>
    <row r="269" spans="1:6" ht="12.75">
      <c r="A269" s="149" t="s">
        <v>134</v>
      </c>
      <c r="B269" s="150" t="s">
        <v>135</v>
      </c>
      <c r="C269" s="228">
        <f>IF(B274&lt;0,B276,B275)</f>
        <v>140</v>
      </c>
      <c r="D269" s="228">
        <f>IF(C274&lt;0,C276,C275)</f>
        <v>140</v>
      </c>
      <c r="E269" s="228">
        <f>IF(D274&lt;0,D276,D275)</f>
        <v>280</v>
      </c>
      <c r="F269" s="228">
        <f>IF(E274&lt;0,E276,E275)</f>
        <v>140</v>
      </c>
    </row>
    <row r="270" spans="1:6" ht="12.75">
      <c r="A270" s="149" t="s">
        <v>139</v>
      </c>
      <c r="B270" s="150" t="s">
        <v>136</v>
      </c>
      <c r="C270" s="151">
        <f>PRODUCT(C268,SQRT(SUMSQ(C259,F259)))</f>
        <v>0</v>
      </c>
      <c r="D270" s="151">
        <f>PRODUCT(D268,SQRT(SUMSQ(C260,F260)))</f>
        <v>0</v>
      </c>
      <c r="E270" s="151">
        <f>PRODUCT(E268,SQRT(SUMSQ(C261,F261)))</f>
        <v>29.277294957014043</v>
      </c>
      <c r="F270" s="151">
        <f>PRODUCT(F268,SQRT(SUMSQ(C262,F262)))</f>
        <v>170.84495895401773</v>
      </c>
    </row>
    <row r="271" spans="1:6" ht="12.75">
      <c r="A271" s="149" t="s">
        <v>141</v>
      </c>
      <c r="B271" s="150"/>
      <c r="C271" s="229">
        <f>SUM(C269,DEGREES(ATAN2(C259,F259)))</f>
        <v>72.05106271907673</v>
      </c>
      <c r="D271" s="229">
        <f>SUM(D269,DEGREES(ATAN2(C260,F260)))</f>
        <v>302.6618908576385</v>
      </c>
      <c r="E271" s="229">
        <f>SUM(E269,DEGREES(ATAN2(C261,F261)))</f>
        <v>145.830315486258</v>
      </c>
      <c r="F271" s="229">
        <f>SUM(F269,DEGREES(ATAN2(C262,F262)))</f>
        <v>77.16498505733193</v>
      </c>
    </row>
    <row r="272" spans="1:6" ht="13.5" thickBot="1">
      <c r="A272" s="99"/>
      <c r="B272" s="217" t="s">
        <v>256</v>
      </c>
      <c r="C272" s="230"/>
      <c r="D272" s="230"/>
      <c r="E272" s="219"/>
      <c r="F272" s="99"/>
    </row>
    <row r="273" spans="1:6" ht="12.75">
      <c r="A273" s="99"/>
      <c r="B273" s="220" t="s">
        <v>129</v>
      </c>
      <c r="C273" s="220" t="s">
        <v>130</v>
      </c>
      <c r="D273" s="220" t="s">
        <v>131</v>
      </c>
      <c r="E273" s="220" t="s">
        <v>132</v>
      </c>
      <c r="F273" s="99"/>
    </row>
    <row r="274" spans="1:6" ht="12.75">
      <c r="A274" s="99"/>
      <c r="B274" s="231">
        <f>B119-F119</f>
        <v>140</v>
      </c>
      <c r="C274" s="231">
        <f>C119-F119</f>
        <v>140</v>
      </c>
      <c r="D274" s="231">
        <f>D119-F119</f>
        <v>280</v>
      </c>
      <c r="E274" s="231">
        <f>E119-F119</f>
        <v>140</v>
      </c>
      <c r="F274" s="99"/>
    </row>
    <row r="275" spans="1:6" ht="12.75">
      <c r="A275" s="99"/>
      <c r="B275" s="231">
        <f>IF(B274&gt;359,(B274-360),(B274))</f>
        <v>140</v>
      </c>
      <c r="C275" s="231">
        <f>IF(C274&gt;359,(C274-360),(C274))</f>
        <v>140</v>
      </c>
      <c r="D275" s="231">
        <f>IF(D274&gt;359,(D274-360),(D274))</f>
        <v>280</v>
      </c>
      <c r="E275" s="231">
        <f>IF(E274&gt;359,(E274-360),(E274))</f>
        <v>140</v>
      </c>
      <c r="F275" s="99"/>
    </row>
    <row r="276" spans="1:6" ht="12.75">
      <c r="A276" s="99"/>
      <c r="B276" s="231">
        <f>IF(B274&lt;-359,(B274+360),(B274))</f>
        <v>140</v>
      </c>
      <c r="C276" s="231">
        <f>IF(C274&lt;-359,(C274+360),(C274))</f>
        <v>140</v>
      </c>
      <c r="D276" s="231">
        <f>IF(D274&lt;-359,(D274+360),(D274))</f>
        <v>280</v>
      </c>
      <c r="E276" s="231">
        <f>IF(E274&lt;-359,(E274+360),(E274))</f>
        <v>140</v>
      </c>
      <c r="F276" s="99"/>
    </row>
    <row r="277" spans="1:6" ht="12.75">
      <c r="A277" s="99"/>
      <c r="B277" s="99"/>
      <c r="C277" s="99"/>
      <c r="D277" s="99"/>
      <c r="E277" s="99"/>
      <c r="F277" s="99"/>
    </row>
    <row r="278" spans="1:6" ht="13.5" thickBot="1">
      <c r="A278" s="217" t="s">
        <v>249</v>
      </c>
      <c r="B278" s="218"/>
      <c r="C278" s="219"/>
      <c r="D278" s="219"/>
      <c r="E278" s="219"/>
      <c r="F278" s="219"/>
    </row>
    <row r="279" spans="1:6" ht="12.75">
      <c r="A279" s="149" t="s">
        <v>409</v>
      </c>
      <c r="B279" s="216">
        <f>C270*COS(RADIANS(C271))</f>
        <v>0</v>
      </c>
      <c r="C279" s="216">
        <f>C270*SIN(RADIANS(C271))</f>
        <v>0</v>
      </c>
      <c r="D279" s="153" t="s">
        <v>410</v>
      </c>
      <c r="E279" s="216">
        <f>D270*COS(RADIANS(D271))</f>
        <v>0</v>
      </c>
      <c r="F279" s="216">
        <f>D270*SIN(RADIANS(D271))</f>
        <v>0</v>
      </c>
    </row>
    <row r="280" spans="1:6" ht="12.75">
      <c r="A280" s="149" t="s">
        <v>411</v>
      </c>
      <c r="B280" s="216">
        <f>E270*COS(RADIANS(E271))</f>
        <v>-24.223385637661742</v>
      </c>
      <c r="C280" s="216">
        <f>E270*SIN(RADIANS(E271))</f>
        <v>16.443466430443515</v>
      </c>
      <c r="D280" s="153" t="s">
        <v>412</v>
      </c>
      <c r="E280" s="216">
        <f>F270*COS(RADIANS(F271))</f>
        <v>37.95225010907373</v>
      </c>
      <c r="F280" s="216">
        <f>F270*SIN(RADIANS(F271))</f>
        <v>166.57618890963474</v>
      </c>
    </row>
    <row r="281" ht="12.75" thickBot="1"/>
    <row r="282" spans="2:4" ht="13.5" thickBot="1">
      <c r="B282" s="224" t="s">
        <v>250</v>
      </c>
      <c r="C282" s="222"/>
      <c r="D282" s="222"/>
    </row>
    <row r="283" spans="2:4" ht="13.5" thickBot="1">
      <c r="B283" s="223" t="s">
        <v>317</v>
      </c>
      <c r="C283" s="225">
        <f>SUM(F13,B279,E279,B280,E280)</f>
        <v>241.72886447141198</v>
      </c>
      <c r="D283" s="225">
        <f>SUM(F15,C279,F279,C280,F280)</f>
        <v>184.01965534007826</v>
      </c>
    </row>
    <row r="284" ht="12.75" thickBot="1">
      <c r="Y284" s="275"/>
    </row>
    <row r="285" spans="1:29" ht="12.75" thickBot="1">
      <c r="A285" s="274"/>
      <c r="B285" s="275"/>
      <c r="C285" s="275"/>
      <c r="D285" s="275"/>
      <c r="E285" s="275"/>
      <c r="F285" s="275"/>
      <c r="G285" s="275"/>
      <c r="H285" s="275"/>
      <c r="I285" s="275"/>
      <c r="J285" s="275"/>
      <c r="K285" s="275"/>
      <c r="L285" s="275"/>
      <c r="M285" s="275"/>
      <c r="N285" s="275"/>
      <c r="O285" s="275"/>
      <c r="P285" s="275"/>
      <c r="Q285" s="275"/>
      <c r="R285" s="275"/>
      <c r="S285" s="275"/>
      <c r="T285" s="275"/>
      <c r="U285" s="275"/>
      <c r="V285" s="275"/>
      <c r="W285" s="275"/>
      <c r="X285" s="275"/>
      <c r="Y285" s="278"/>
      <c r="Z285" s="275"/>
      <c r="AA285" s="275"/>
      <c r="AB285" s="275"/>
      <c r="AC285" s="276"/>
    </row>
    <row r="286" spans="1:29" ht="12.75" thickBot="1">
      <c r="A286" s="277" t="s">
        <v>3</v>
      </c>
      <c r="B286" s="278"/>
      <c r="C286" s="278"/>
      <c r="D286" s="278"/>
      <c r="E286" s="278"/>
      <c r="F286" s="278"/>
      <c r="G286" s="278"/>
      <c r="H286" s="278"/>
      <c r="I286" s="278"/>
      <c r="J286" s="278"/>
      <c r="K286" s="278"/>
      <c r="L286" s="278"/>
      <c r="M286" s="278"/>
      <c r="N286" s="278"/>
      <c r="O286" s="278"/>
      <c r="P286" s="278"/>
      <c r="Q286" s="278"/>
      <c r="R286" s="278"/>
      <c r="S286" s="278"/>
      <c r="T286" s="278"/>
      <c r="U286" s="278"/>
      <c r="V286" s="278"/>
      <c r="W286" s="278"/>
      <c r="X286" s="278"/>
      <c r="Z286" s="278"/>
      <c r="AA286" s="278"/>
      <c r="AB286" s="278"/>
      <c r="AC286" s="279"/>
    </row>
  </sheetData>
  <printOptions/>
  <pageMargins left="0.75" right="0.75" top="1" bottom="1" header="0.5" footer="0.5"/>
  <pageSetup horizontalDpi="300" verticalDpi="300" orientation="portrait" r:id="rId1"/>
  <ignoredErrors>
    <ignoredError sqref="I31 D1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0" customWidth="1"/>
    <col min="2" max="2" width="11.28125" style="0" customWidth="1"/>
    <col min="3" max="3" width="9.421875" style="0" customWidth="1"/>
    <col min="4" max="4" width="8.57421875" style="0" customWidth="1"/>
    <col min="5" max="5" width="10.28125" style="0" customWidth="1"/>
    <col min="6" max="6" width="2.00390625" style="0" customWidth="1"/>
    <col min="7" max="7" width="8.00390625" style="0" customWidth="1"/>
    <col min="8" max="8" width="3.00390625" style="0" customWidth="1"/>
    <col min="10" max="10" width="2.28125" style="0" customWidth="1"/>
  </cols>
  <sheetData>
    <row r="1" spans="1:3" ht="12.75">
      <c r="A1" s="14" t="s">
        <v>497</v>
      </c>
      <c r="C1" s="14" t="s">
        <v>495</v>
      </c>
    </row>
    <row r="2" ht="15">
      <c r="A2" s="5" t="s">
        <v>0</v>
      </c>
    </row>
    <row r="3" ht="15">
      <c r="A3" s="5" t="s">
        <v>36</v>
      </c>
    </row>
    <row r="5" spans="1:5" ht="12.75">
      <c r="A5" s="37" t="s">
        <v>38</v>
      </c>
      <c r="B5" s="38"/>
      <c r="C5" s="38"/>
      <c r="D5" s="38"/>
      <c r="E5" s="39"/>
    </row>
    <row r="7" ht="12.75">
      <c r="A7" s="3" t="s">
        <v>5</v>
      </c>
    </row>
    <row r="8" ht="12.75">
      <c r="A8" s="3" t="s">
        <v>8</v>
      </c>
    </row>
    <row r="9" ht="12.75" thickBot="1">
      <c r="A9" s="3"/>
    </row>
    <row r="10" spans="3:5" ht="14.25" thickBot="1" thickTop="1">
      <c r="C10" s="10" t="s">
        <v>15</v>
      </c>
      <c r="E10" s="11" t="s">
        <v>16</v>
      </c>
    </row>
    <row r="11" ht="13.5" thickTop="1">
      <c r="C11" s="12"/>
    </row>
    <row r="12" spans="1:5" ht="12.75">
      <c r="A12" s="8" t="s">
        <v>17</v>
      </c>
      <c r="B12" s="9"/>
      <c r="C12" s="13">
        <v>70</v>
      </c>
      <c r="E12" s="16">
        <f>C12*COS(RADIANS(C15))</f>
        <v>39.14350324295228</v>
      </c>
    </row>
    <row r="13" spans="1:3" ht="12.75">
      <c r="A13" s="8" t="s">
        <v>1</v>
      </c>
      <c r="C13" s="9"/>
    </row>
    <row r="14" spans="3:7" ht="12.75">
      <c r="C14" s="9"/>
      <c r="G14">
        <f>RADIANS(C15)</f>
        <v>0.9773843811168246</v>
      </c>
    </row>
    <row r="15" spans="1:7" ht="12.75">
      <c r="A15" s="8" t="s">
        <v>18</v>
      </c>
      <c r="B15" s="9"/>
      <c r="C15" s="13">
        <v>56</v>
      </c>
      <c r="E15" s="16">
        <f>C12*SIN(RADIANS(C15))</f>
        <v>58.03263007885292</v>
      </c>
      <c r="G15">
        <f>C15*(3.1415927/180)</f>
        <v>0.9773843955555556</v>
      </c>
    </row>
    <row r="16" ht="12.75" thickBot="1">
      <c r="C16" t="s">
        <v>3</v>
      </c>
    </row>
    <row r="17" spans="1:8" ht="18.75" thickBot="1" thickTop="1">
      <c r="A17" s="36" t="s">
        <v>2</v>
      </c>
      <c r="B17" s="7"/>
      <c r="C17" s="7"/>
      <c r="D17" s="7" t="s">
        <v>437</v>
      </c>
      <c r="E17" s="15">
        <f>E12</f>
        <v>39.14350324295228</v>
      </c>
      <c r="F17" s="22" t="str">
        <f>IF(E15&gt;0,"+","-")</f>
        <v>+</v>
      </c>
      <c r="G17" s="21">
        <f>ABS(E15)</f>
        <v>58.03263007885292</v>
      </c>
      <c r="H17" s="4" t="s">
        <v>4</v>
      </c>
    </row>
    <row r="18" ht="12.75" thickTop="1"/>
    <row r="20" spans="1:5" ht="12.75">
      <c r="A20" s="37" t="s">
        <v>39</v>
      </c>
      <c r="B20" s="38"/>
      <c r="C20" s="38"/>
      <c r="D20" s="38"/>
      <c r="E20" s="39"/>
    </row>
    <row r="22" ht="12.75">
      <c r="A22" s="3" t="s">
        <v>10</v>
      </c>
    </row>
    <row r="23" ht="12.75">
      <c r="A23" s="3" t="s">
        <v>11</v>
      </c>
    </row>
    <row r="24" ht="12.75" thickBot="1">
      <c r="A24" s="3"/>
    </row>
    <row r="25" spans="1:5" ht="14.25" thickBot="1" thickTop="1">
      <c r="A25" s="3"/>
      <c r="C25" s="10" t="s">
        <v>15</v>
      </c>
      <c r="E25" s="11" t="s">
        <v>16</v>
      </c>
    </row>
    <row r="26" ht="12.75" thickTop="1">
      <c r="C26" s="9"/>
    </row>
    <row r="27" spans="1:3" ht="12.75">
      <c r="A27" s="8" t="s">
        <v>21</v>
      </c>
      <c r="B27" s="9"/>
      <c r="C27" s="13">
        <v>84</v>
      </c>
    </row>
    <row r="28" spans="3:7" ht="12.75" thickBot="1">
      <c r="C28" s="9"/>
      <c r="E28" s="2" t="s">
        <v>14</v>
      </c>
      <c r="G28" s="2" t="s">
        <v>9</v>
      </c>
    </row>
    <row r="29" spans="3:8" ht="16.5" thickBot="1" thickTop="1">
      <c r="C29" s="9"/>
      <c r="E29" s="15">
        <f>SQRT(SUMSQ(C27,C30))</f>
        <v>87.09190547921202</v>
      </c>
      <c r="F29" s="33" t="s">
        <v>13</v>
      </c>
      <c r="G29" s="34">
        <f>DEGREES(ATAN2(C27,C30))</f>
        <v>15.312818360806306</v>
      </c>
      <c r="H29" s="35" t="s">
        <v>12</v>
      </c>
    </row>
    <row r="30" spans="1:5" ht="13.5" thickTop="1">
      <c r="A30" s="8" t="s">
        <v>20</v>
      </c>
      <c r="B30" s="9"/>
      <c r="C30" s="13">
        <v>23</v>
      </c>
      <c r="E30" s="18">
        <f>SQRT(SUMSQ(C27,C30))</f>
        <v>87.09190547921202</v>
      </c>
    </row>
    <row r="31" ht="12.75">
      <c r="E31" s="19">
        <f>DEGREES(ATAN2(C27,C30))</f>
        <v>15.312818360806306</v>
      </c>
    </row>
    <row r="34" spans="1:8" ht="13.5" thickBot="1">
      <c r="A34" s="37" t="s">
        <v>22</v>
      </c>
      <c r="B34" s="38"/>
      <c r="C34" s="38"/>
      <c r="D34" s="38"/>
      <c r="E34" s="38"/>
      <c r="F34" s="38"/>
      <c r="G34" s="38"/>
      <c r="H34" s="39"/>
    </row>
    <row r="35" spans="1:4" ht="13.5" thickBot="1">
      <c r="A35" s="6"/>
      <c r="C35" s="31" t="s">
        <v>37</v>
      </c>
      <c r="D35" s="32"/>
    </row>
    <row r="36" spans="2:5" ht="14.25" thickBot="1" thickTop="1">
      <c r="B36" s="10" t="s">
        <v>15</v>
      </c>
      <c r="C36" t="s">
        <v>23</v>
      </c>
      <c r="D36" s="29">
        <f>SQRT(SUMSQ(B37,B38))</f>
        <v>173.5641956164923</v>
      </c>
      <c r="E36" s="11" t="s">
        <v>16</v>
      </c>
    </row>
    <row r="37" spans="1:7" ht="13.5" thickTop="1">
      <c r="A37" s="8" t="s">
        <v>152</v>
      </c>
      <c r="B37" s="28">
        <v>-147.3</v>
      </c>
      <c r="C37" t="s">
        <v>24</v>
      </c>
      <c r="D37" s="29">
        <f>DEGREES(ATAN2(B37,B38))</f>
        <v>-148.06809979607374</v>
      </c>
      <c r="E37" s="6" t="s">
        <v>33</v>
      </c>
      <c r="G37" s="6">
        <f>D40/D44</f>
        <v>96.58006471645184</v>
      </c>
    </row>
    <row r="38" spans="1:7" ht="12.75">
      <c r="A38" s="8" t="s">
        <v>153</v>
      </c>
      <c r="B38" s="28">
        <v>-91.8</v>
      </c>
      <c r="C38" t="s">
        <v>25</v>
      </c>
      <c r="D38" s="29">
        <f>SQRT(SUMSQ(B39,B40))</f>
        <v>148.36350629450627</v>
      </c>
      <c r="E38" s="6" t="s">
        <v>34</v>
      </c>
      <c r="G38" s="20">
        <f>SUM(D41-D45)</f>
        <v>174.6822750654796</v>
      </c>
    </row>
    <row r="39" spans="1:4" ht="13.5" thickBot="1">
      <c r="A39" s="8" t="s">
        <v>154</v>
      </c>
      <c r="B39" s="28">
        <v>-119.3</v>
      </c>
      <c r="C39" t="s">
        <v>26</v>
      </c>
      <c r="D39" s="29">
        <f>DEGREES(ATAN2(B39,B40))</f>
        <v>143.5240142867742</v>
      </c>
    </row>
    <row r="40" spans="1:10" ht="16.5" thickBot="1" thickTop="1">
      <c r="A40" s="8" t="s">
        <v>155</v>
      </c>
      <c r="B40" s="28">
        <v>88.2</v>
      </c>
      <c r="C40" s="6" t="s">
        <v>27</v>
      </c>
      <c r="D40" s="20">
        <f>PRODUCT(D36,D38)</f>
        <v>25750.59262884837</v>
      </c>
      <c r="E40" s="6" t="s">
        <v>35</v>
      </c>
      <c r="G40" s="24">
        <f>G37*COS(RADIANS(G38))</f>
        <v>-96.16439135320303</v>
      </c>
      <c r="H40" s="27" t="str">
        <f>IF(I40&gt;0,"+"," ")</f>
        <v>+</v>
      </c>
      <c r="I40" s="25">
        <f>G37*SIN(RADIANS(G38))</f>
        <v>8.950907010020748</v>
      </c>
      <c r="J40" s="26" t="s">
        <v>4</v>
      </c>
    </row>
    <row r="41" spans="3:5" ht="13.5" thickTop="1">
      <c r="C41" s="6" t="s">
        <v>28</v>
      </c>
      <c r="D41" s="20">
        <f>SUM(D37,D39)</f>
        <v>-4.544085509299549</v>
      </c>
      <c r="E41" s="23"/>
    </row>
    <row r="42" spans="3:4" ht="12.75">
      <c r="C42" t="s">
        <v>29</v>
      </c>
      <c r="D42" s="30">
        <f>SUM(B37,B39)</f>
        <v>-266.6</v>
      </c>
    </row>
    <row r="43" spans="3:4" ht="12.75">
      <c r="C43" t="s">
        <v>30</v>
      </c>
      <c r="D43" s="30">
        <f>SUM(B38,B40)</f>
        <v>-3.5999999999999943</v>
      </c>
    </row>
    <row r="44" spans="3:4" ht="12.75">
      <c r="C44" s="6" t="s">
        <v>31</v>
      </c>
      <c r="D44" s="17">
        <f>SQRT(SUMSQ(D42,D43))</f>
        <v>266.6243049686206</v>
      </c>
    </row>
    <row r="45" spans="3:4" ht="12.75">
      <c r="C45" s="6" t="s">
        <v>32</v>
      </c>
      <c r="D45" s="17">
        <f>DEGREES(ATAN2(D42,D43))</f>
        <v>-179.22636057477914</v>
      </c>
    </row>
    <row r="47" ht="12.75">
      <c r="A47" s="1" t="s">
        <v>7</v>
      </c>
    </row>
    <row r="48" ht="12.75">
      <c r="A48" s="1" t="s">
        <v>6</v>
      </c>
    </row>
    <row r="49" ht="12.75">
      <c r="A49" s="1" t="s">
        <v>19</v>
      </c>
    </row>
    <row r="52" spans="6:7" ht="12.75">
      <c r="F52" s="40"/>
      <c r="G52" s="40"/>
    </row>
    <row r="53" spans="6:7" ht="12.75">
      <c r="F53" s="40"/>
      <c r="G53" s="40"/>
    </row>
    <row r="60" ht="12.75">
      <c r="A60" s="2" t="s">
        <v>40</v>
      </c>
    </row>
    <row r="61" ht="12.75">
      <c r="A61" s="41"/>
    </row>
  </sheetData>
  <printOptions/>
  <pageMargins left="0.75" right="0.75" top="1" bottom="1" header="0.5" footer="0.5"/>
  <pageSetup horizontalDpi="300" verticalDpi="300" orientation="portrait" r:id="rId1"/>
  <ignoredErrors>
    <ignoredError sqref="D37:D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Marco</cp:lastModifiedBy>
  <dcterms:created xsi:type="dcterms:W3CDTF">2010-02-25T18:01:51Z</dcterms:created>
  <dcterms:modified xsi:type="dcterms:W3CDTF">2010-08-27T05:53:40Z</dcterms:modified>
  <cp:category/>
  <cp:version/>
  <cp:contentType/>
  <cp:contentStatus/>
</cp:coreProperties>
</file>